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495" yWindow="195" windowWidth="16425" windowHeight="18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<sst xmlns="http://schemas.openxmlformats.org/spreadsheetml/2006/main" count="109" uniqueCount="93">
  <si>
    <t>Explanatory Notes</t>
  </si>
  <si>
    <t>Eleven inputs are required for calculation of the forward model.  Intermediate calculations proceed top-to-bottom through the column.</t>
  </si>
  <si>
    <t xml:space="preserve">Forward:  </t>
  </si>
  <si>
    <t>Inverse:</t>
  </si>
  <si>
    <t>Eleven inputs are required for the calculation of the inverse model.  Intermediate calculations proceed bottom-to-top through the column.</t>
  </si>
  <si>
    <t>From Lab, enter the inputs in Cells 13:15,20:27 and the resulting JCh appear in Cells 28:30 with the intermediate calculations in Cells 33:104.</t>
  </si>
  <si>
    <t>From XYZ enter the inputs in Cells 17:27 and the resulting JCh appear in Cells 28:30 with the intermediate calculations in Cells 33:104.</t>
  </si>
  <si>
    <t>Enter the inputs in Cells 20:30 and the results appear in Cells 13:19 with the intermediate calculations in Cells 33:104.</t>
  </si>
  <si>
    <t>X</t>
  </si>
  <si>
    <t>Y</t>
  </si>
  <si>
    <t>Z</t>
  </si>
  <si>
    <t>Xw</t>
  </si>
  <si>
    <t>Yw</t>
  </si>
  <si>
    <t>Zw</t>
  </si>
  <si>
    <t>LA (cd/m2)</t>
  </si>
  <si>
    <t>F</t>
  </si>
  <si>
    <t>D</t>
  </si>
  <si>
    <t>Yb</t>
  </si>
  <si>
    <t>c</t>
  </si>
  <si>
    <t>Nc</t>
  </si>
  <si>
    <t>k</t>
  </si>
  <si>
    <t>FL</t>
  </si>
  <si>
    <t>n</t>
  </si>
  <si>
    <t>Nbb</t>
  </si>
  <si>
    <t>Ncb</t>
  </si>
  <si>
    <t>z</t>
  </si>
  <si>
    <t>R</t>
  </si>
  <si>
    <t>G</t>
  </si>
  <si>
    <t>B</t>
  </si>
  <si>
    <t>Rw</t>
  </si>
  <si>
    <t>Gw</t>
  </si>
  <si>
    <t>Bw</t>
  </si>
  <si>
    <t>Rc</t>
  </si>
  <si>
    <t>Gc</t>
  </si>
  <si>
    <t>Bc</t>
  </si>
  <si>
    <t>Rcw</t>
  </si>
  <si>
    <t>Gcw</t>
  </si>
  <si>
    <t>Bcw</t>
  </si>
  <si>
    <t>Xc</t>
  </si>
  <si>
    <t>Yc</t>
  </si>
  <si>
    <t>Zc</t>
  </si>
  <si>
    <t>Xcw</t>
  </si>
  <si>
    <t>Ycw</t>
  </si>
  <si>
    <t>Zcw</t>
  </si>
  <si>
    <t>R'</t>
  </si>
  <si>
    <t>G'</t>
  </si>
  <si>
    <t>B'</t>
  </si>
  <si>
    <t>R'w</t>
  </si>
  <si>
    <t>G'w</t>
  </si>
  <si>
    <t>B'w</t>
  </si>
  <si>
    <t>R'a</t>
  </si>
  <si>
    <t>G'a</t>
  </si>
  <si>
    <t>B'a</t>
  </si>
  <si>
    <t>R'aw</t>
  </si>
  <si>
    <t>G'aw</t>
  </si>
  <si>
    <t>B'aw</t>
  </si>
  <si>
    <t>a</t>
  </si>
  <si>
    <t>b</t>
  </si>
  <si>
    <t>h</t>
  </si>
  <si>
    <t>H</t>
  </si>
  <si>
    <t>Hc (Red)</t>
  </si>
  <si>
    <t>Hc (Yellow)</t>
  </si>
  <si>
    <t>Hc (Green)</t>
  </si>
  <si>
    <t>Hc (Blue)</t>
  </si>
  <si>
    <t>e</t>
  </si>
  <si>
    <t>A</t>
  </si>
  <si>
    <t>Aw</t>
  </si>
  <si>
    <t>J</t>
  </si>
  <si>
    <t>Q</t>
  </si>
  <si>
    <t>t</t>
  </si>
  <si>
    <t>s</t>
  </si>
  <si>
    <t>C</t>
  </si>
  <si>
    <t>M</t>
  </si>
  <si>
    <t>ac</t>
  </si>
  <si>
    <t>bc</t>
  </si>
  <si>
    <t>aM</t>
  </si>
  <si>
    <t>bM</t>
  </si>
  <si>
    <t>as</t>
  </si>
  <si>
    <t>bs</t>
  </si>
  <si>
    <t>Inverse</t>
  </si>
  <si>
    <t>Forward</t>
  </si>
  <si>
    <t>F(y)</t>
  </si>
  <si>
    <t>L*</t>
  </si>
  <si>
    <t>a*</t>
  </si>
  <si>
    <t>b*</t>
  </si>
  <si>
    <t>CIECAM02 - Nearly Final</t>
  </si>
  <si>
    <t>Roundtrip</t>
  </si>
  <si>
    <t>From XYZ</t>
  </si>
  <si>
    <t>To XYZ</t>
  </si>
  <si>
    <t>From Lab</t>
  </si>
  <si>
    <t>To Lab</t>
  </si>
  <si>
    <t>Separate</t>
  </si>
  <si>
    <t>Revision Date: 07-28-2004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</si>
</sst>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i/>
      <sz val="1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12"/>
  <sheetViews>
    <sheetView tabSelected="1" workbookViewId="0" topLeftCell="A1">
      <selection activeCell="B23" sqref="B23"/>
    </sheetView>
  </sheetViews>
  <sheetFormatPr defaultColWidth="9.00390625" defaultRowHeight="12"/>
  <cols>
    <col min="1" max="1" width="12.00390625" style="3" bestFit="1" customWidth="1"/>
    <col min="2" max="2" width="8.125" style="3" customWidth="1"/>
    <col min="3" max="3" width="2.375" style="3" customWidth="1"/>
    <col min="4" max="4" width="11.00390625" style="3" customWidth="1"/>
    <col min="5" max="5" width="4.875" style="3" customWidth="1"/>
    <col min="6" max="6" width="8.125" style="3" customWidth="1"/>
    <col min="7" max="7" width="2.875" style="3" customWidth="1"/>
    <col min="8" max="8" width="8.125" style="3" customWidth="1"/>
    <col min="9" max="9" width="4.875" style="3" customWidth="1"/>
    <col min="10" max="10" width="8.125" style="3" customWidth="1"/>
    <col min="11" max="11" width="2.25390625" style="3" customWidth="1"/>
    <col min="12" max="12" width="8.125" style="3" customWidth="1"/>
    <col min="13" max="13" width="4.875" style="3" customWidth="1"/>
    <col min="14" max="14" width="8.125" style="2" customWidth="1"/>
    <col min="15" max="15" width="2.25390625" style="2" customWidth="1"/>
    <col min="16" max="16" width="8.125" style="2" customWidth="1"/>
    <col min="17" max="16384" width="10.875" style="3" customWidth="1"/>
  </cols>
  <sheetData>
    <row r="1" spans="1:16" s="9" customFormat="1" ht="23.25">
      <c r="A1" s="8" t="s">
        <v>85</v>
      </c>
      <c r="M1" s="10" t="s">
        <v>92</v>
      </c>
      <c r="O1" s="10"/>
      <c r="P1" s="10"/>
    </row>
    <row r="2" ht="12">
      <c r="A2" s="34" t="s">
        <v>0</v>
      </c>
    </row>
    <row r="3" spans="1:2" ht="12">
      <c r="A3" s="35" t="s">
        <v>2</v>
      </c>
      <c r="B3" s="3" t="s">
        <v>1</v>
      </c>
    </row>
    <row r="4" spans="1:2" ht="12">
      <c r="A4" s="11"/>
      <c r="B4" s="3" t="s">
        <v>5</v>
      </c>
    </row>
    <row r="5" spans="1:2" ht="12">
      <c r="A5" s="11"/>
      <c r="B5" s="3" t="s">
        <v>6</v>
      </c>
    </row>
    <row r="6" spans="1:2" ht="12">
      <c r="A6" s="36" t="s">
        <v>3</v>
      </c>
      <c r="B6" s="3" t="s">
        <v>4</v>
      </c>
    </row>
    <row r="7" spans="1:2" ht="12">
      <c r="A7" s="11"/>
      <c r="B7" s="3" t="s">
        <v>7</v>
      </c>
    </row>
    <row r="8" ht="12">
      <c r="A8" s="11"/>
    </row>
    <row r="9" spans="1:16" ht="12">
      <c r="A9" s="11"/>
      <c r="B9" s="14" t="s">
        <v>80</v>
      </c>
      <c r="C9" s="28"/>
      <c r="D9" s="28" t="s">
        <v>79</v>
      </c>
      <c r="E9" s="28"/>
      <c r="F9" s="14" t="s">
        <v>80</v>
      </c>
      <c r="G9" s="28"/>
      <c r="H9" s="28" t="s">
        <v>79</v>
      </c>
      <c r="I9" s="28"/>
      <c r="J9"/>
      <c r="K9"/>
      <c r="L9"/>
      <c r="M9"/>
      <c r="N9"/>
      <c r="O9"/>
      <c r="P9"/>
    </row>
    <row r="10" spans="2:16" ht="12">
      <c r="B10" s="28" t="s">
        <v>89</v>
      </c>
      <c r="C10" s="28"/>
      <c r="D10" s="28" t="s">
        <v>90</v>
      </c>
      <c r="E10" s="28"/>
      <c r="F10" s="28" t="s">
        <v>87</v>
      </c>
      <c r="G10" s="28"/>
      <c r="H10" s="28" t="s">
        <v>88</v>
      </c>
      <c r="I10" s="28"/>
      <c r="J10"/>
      <c r="K10"/>
      <c r="L10"/>
      <c r="M10"/>
      <c r="N10"/>
      <c r="O10"/>
      <c r="P10"/>
    </row>
    <row r="11" spans="2:16" ht="12">
      <c r="B11" s="28"/>
      <c r="C11" s="28" t="s">
        <v>86</v>
      </c>
      <c r="D11" s="28"/>
      <c r="E11" s="28"/>
      <c r="F11" s="28"/>
      <c r="G11" s="28" t="s">
        <v>91</v>
      </c>
      <c r="H11" s="28"/>
      <c r="I11" s="28"/>
      <c r="J11"/>
      <c r="K11"/>
      <c r="L11"/>
      <c r="M11"/>
      <c r="N11"/>
      <c r="O11"/>
      <c r="P11"/>
    </row>
    <row r="12" spans="3:16" ht="12">
      <c r="C12" s="28"/>
      <c r="D12" s="28"/>
      <c r="E12" s="28"/>
      <c r="F12" s="28"/>
      <c r="G12" s="28"/>
      <c r="H12" s="28"/>
      <c r="I12" s="28"/>
      <c r="J12"/>
      <c r="K12"/>
      <c r="L12"/>
      <c r="M12"/>
      <c r="N12"/>
      <c r="O12"/>
      <c r="P12"/>
    </row>
    <row r="13" spans="1:16" ht="12">
      <c r="A13" s="3" t="s">
        <v>82</v>
      </c>
      <c r="B13" s="33">
        <v>50</v>
      </c>
      <c r="C13" s="33"/>
      <c r="D13" s="33">
        <f>Lstar(D17,D18,D19,D20,D21,D22)</f>
        <v>50.00370954135312</v>
      </c>
      <c r="E13" s="28"/>
      <c r="F13" s="28"/>
      <c r="G13" s="28"/>
      <c r="H13" s="28"/>
      <c r="I13" s="28"/>
      <c r="J13"/>
      <c r="K13"/>
      <c r="L13"/>
      <c r="M13"/>
      <c r="N13"/>
      <c r="O13"/>
      <c r="P13"/>
    </row>
    <row r="14" spans="1:16" ht="12">
      <c r="A14" s="3" t="s">
        <v>83</v>
      </c>
      <c r="B14" s="33">
        <v>50</v>
      </c>
      <c r="C14" s="33"/>
      <c r="D14" s="33">
        <f>astar(D17,D18,D19,D20,D21,D22)</f>
        <v>49.997481946299935</v>
      </c>
      <c r="E14" s="28"/>
      <c r="F14" s="28"/>
      <c r="G14" s="28"/>
      <c r="H14" s="28"/>
      <c r="I14" s="28"/>
      <c r="J14"/>
      <c r="K14"/>
      <c r="L14"/>
      <c r="M14"/>
      <c r="N14"/>
      <c r="O14"/>
      <c r="P14"/>
    </row>
    <row r="15" spans="1:16" ht="12">
      <c r="A15" s="3" t="s">
        <v>84</v>
      </c>
      <c r="B15" s="12">
        <v>50</v>
      </c>
      <c r="C15" s="12"/>
      <c r="D15" s="12">
        <f>bstar(D17,D18,D19,D20,D21,D22)</f>
        <v>49.99913956714921</v>
      </c>
      <c r="E15" s="29"/>
      <c r="F15" s="28"/>
      <c r="G15" s="28"/>
      <c r="H15" s="28"/>
      <c r="I15" s="28"/>
      <c r="J15"/>
      <c r="K15"/>
      <c r="L15"/>
      <c r="M15"/>
      <c r="N15"/>
      <c r="O15"/>
      <c r="P15"/>
    </row>
    <row r="16" spans="1:16" ht="12">
      <c r="A16" s="3" t="s">
        <v>81</v>
      </c>
      <c r="B16" s="33">
        <f>IF(((B18/B21)&gt;0.008856),(B13+16)/116,(903.3*(B18/B21)+16)/116)</f>
        <v>0.5689655172413793</v>
      </c>
      <c r="C16" s="12"/>
      <c r="D16" s="12"/>
      <c r="E16" s="29"/>
      <c r="F16" s="28"/>
      <c r="G16" s="28"/>
      <c r="H16" s="28"/>
      <c r="I16" s="28"/>
      <c r="J16"/>
      <c r="K16"/>
      <c r="L16"/>
      <c r="M16"/>
      <c r="N16"/>
      <c r="O16"/>
      <c r="P16"/>
    </row>
    <row r="17" spans="1:16" s="2" customFormat="1" ht="12">
      <c r="A17" s="16" t="s">
        <v>8</v>
      </c>
      <c r="B17" s="30">
        <f>IF(((B14/500+B16)^3&gt;0.008856),(B20*(B14/500+B16)^3),B20*((116*((B14/500)+B16)-16)/903.3))</f>
        <v>28.866020450307634</v>
      </c>
      <c r="C17" s="13"/>
      <c r="D17" s="13">
        <f>D33</f>
        <v>28.86602669281296</v>
      </c>
      <c r="E17" s="13"/>
      <c r="F17" s="30">
        <v>28.866020450307634</v>
      </c>
      <c r="G17" s="13"/>
      <c r="H17" s="13">
        <f>H33</f>
        <v>28.86602669281296</v>
      </c>
      <c r="I17" s="13"/>
      <c r="J17"/>
      <c r="K17"/>
      <c r="L17"/>
      <c r="M17"/>
      <c r="N17"/>
      <c r="O17"/>
      <c r="P17"/>
    </row>
    <row r="18" spans="1:16" s="2" customFormat="1" ht="12">
      <c r="A18" s="16" t="s">
        <v>9</v>
      </c>
      <c r="B18" s="30">
        <f>IF((B13&gt;(903.3*0.008856)),(B21*((B13+16)/116)^3),B21*B13/903.3)</f>
        <v>18.418651851244416</v>
      </c>
      <c r="C18" s="13"/>
      <c r="D18" s="13">
        <f>D34</f>
        <v>18.418641354199504</v>
      </c>
      <c r="E18" s="13"/>
      <c r="F18" s="17">
        <v>18.418651851244416</v>
      </c>
      <c r="G18" s="13"/>
      <c r="H18" s="13">
        <f>H34</f>
        <v>18.418641354199504</v>
      </c>
      <c r="I18" s="13"/>
      <c r="J18"/>
      <c r="K18"/>
      <c r="L18"/>
      <c r="M18"/>
      <c r="N18"/>
      <c r="O18"/>
      <c r="P18"/>
    </row>
    <row r="19" spans="1:16" s="2" customFormat="1" ht="12">
      <c r="A19" s="16" t="s">
        <v>10</v>
      </c>
      <c r="B19" s="30">
        <f>IF(((B16-(B15/200))^3&gt;0.008856),B22*((B16-(B15/200))^3),B22*(116*(B16-(B15/200))-16)/903.3)</f>
        <v>2.677891918478045</v>
      </c>
      <c r="C19" s="13"/>
      <c r="D19" s="13">
        <f>D35</f>
        <v>2.677887676632438</v>
      </c>
      <c r="E19" s="13"/>
      <c r="F19" s="17">
        <v>2.677891918478045</v>
      </c>
      <c r="G19" s="13"/>
      <c r="H19" s="13">
        <f>H35</f>
        <v>2.677887676632438</v>
      </c>
      <c r="I19" s="13"/>
      <c r="J19"/>
      <c r="K19"/>
      <c r="L19"/>
      <c r="M19"/>
      <c r="N19"/>
      <c r="O19"/>
      <c r="P19"/>
    </row>
    <row r="20" spans="1:16" s="2" customFormat="1" ht="12">
      <c r="A20" s="16" t="s">
        <v>11</v>
      </c>
      <c r="B20" s="13">
        <v>96.42190751267881</v>
      </c>
      <c r="C20" s="13"/>
      <c r="D20" s="13">
        <v>96.42190751267881</v>
      </c>
      <c r="E20" s="13"/>
      <c r="F20" s="17">
        <v>96.42190751267881</v>
      </c>
      <c r="G20" s="13"/>
      <c r="H20" s="17">
        <v>96.42190751267881</v>
      </c>
      <c r="I20" s="13"/>
      <c r="J20"/>
      <c r="K20"/>
      <c r="L20"/>
      <c r="M20"/>
      <c r="N20"/>
      <c r="O20"/>
      <c r="P20"/>
    </row>
    <row r="21" spans="1:16" s="2" customFormat="1" ht="12">
      <c r="A21" s="16" t="s">
        <v>12</v>
      </c>
      <c r="B21" s="13">
        <v>100</v>
      </c>
      <c r="C21" s="13"/>
      <c r="D21" s="13">
        <v>100</v>
      </c>
      <c r="E21" s="13"/>
      <c r="F21" s="17">
        <v>100</v>
      </c>
      <c r="G21" s="13"/>
      <c r="H21" s="17">
        <v>100</v>
      </c>
      <c r="I21" s="13"/>
      <c r="J21"/>
      <c r="K21"/>
      <c r="L21"/>
      <c r="M21"/>
      <c r="N21"/>
      <c r="O21"/>
      <c r="P21"/>
    </row>
    <row r="22" spans="1:16" s="2" customFormat="1" ht="12">
      <c r="A22" s="16" t="s">
        <v>13</v>
      </c>
      <c r="B22" s="13">
        <v>82.5204979761259</v>
      </c>
      <c r="C22" s="13"/>
      <c r="D22" s="13">
        <v>82.5204979761259</v>
      </c>
      <c r="E22" s="13"/>
      <c r="F22" s="17">
        <v>82.5204979761259</v>
      </c>
      <c r="G22" s="13"/>
      <c r="H22" s="17">
        <v>82.5204979761259</v>
      </c>
      <c r="I22" s="13"/>
      <c r="J22"/>
      <c r="K22"/>
      <c r="L22"/>
      <c r="M22"/>
      <c r="N22"/>
      <c r="O22"/>
      <c r="P22"/>
    </row>
    <row r="23" spans="1:16" s="2" customFormat="1" ht="12">
      <c r="A23" s="16" t="s">
        <v>14</v>
      </c>
      <c r="B23" s="13">
        <v>100</v>
      </c>
      <c r="C23" s="13"/>
      <c r="D23" s="13">
        <v>100</v>
      </c>
      <c r="E23" s="13"/>
      <c r="F23" s="17">
        <v>100</v>
      </c>
      <c r="G23" s="13"/>
      <c r="H23" s="17">
        <v>100</v>
      </c>
      <c r="I23" s="13"/>
      <c r="J23"/>
      <c r="K23"/>
      <c r="L23"/>
      <c r="M23"/>
      <c r="N23"/>
      <c r="O23"/>
      <c r="P23"/>
    </row>
    <row r="24" spans="1:16" s="1" customFormat="1" ht="12">
      <c r="A24" s="18" t="s">
        <v>17</v>
      </c>
      <c r="B24" s="31">
        <v>20</v>
      </c>
      <c r="C24" s="19"/>
      <c r="D24" s="31">
        <v>20</v>
      </c>
      <c r="E24" s="19"/>
      <c r="F24" s="20">
        <v>20</v>
      </c>
      <c r="G24" s="19"/>
      <c r="H24" s="20">
        <v>20</v>
      </c>
      <c r="I24" s="19"/>
      <c r="J24"/>
      <c r="K24"/>
      <c r="L24"/>
      <c r="M24"/>
      <c r="N24"/>
      <c r="O24"/>
      <c r="P24"/>
    </row>
    <row r="25" spans="1:16" s="2" customFormat="1" ht="12">
      <c r="A25" s="16" t="s">
        <v>18</v>
      </c>
      <c r="B25" s="32">
        <v>0.69</v>
      </c>
      <c r="C25" s="13"/>
      <c r="D25" s="32">
        <v>0.69</v>
      </c>
      <c r="E25" s="13"/>
      <c r="F25" s="21">
        <v>0.69</v>
      </c>
      <c r="G25" s="13"/>
      <c r="H25" s="21">
        <v>0.69</v>
      </c>
      <c r="I25" s="13"/>
      <c r="J25"/>
      <c r="K25"/>
      <c r="L25"/>
      <c r="M25"/>
      <c r="N25"/>
      <c r="O25"/>
      <c r="P25"/>
    </row>
    <row r="26" spans="1:16" s="1" customFormat="1" ht="12">
      <c r="A26" s="18" t="s">
        <v>19</v>
      </c>
      <c r="B26" s="19">
        <v>1</v>
      </c>
      <c r="C26" s="19"/>
      <c r="D26" s="19">
        <v>1</v>
      </c>
      <c r="E26" s="19"/>
      <c r="F26" s="19">
        <v>1</v>
      </c>
      <c r="G26" s="19"/>
      <c r="H26" s="19">
        <v>1</v>
      </c>
      <c r="I26" s="19"/>
      <c r="J26"/>
      <c r="K26"/>
      <c r="L26"/>
      <c r="M26"/>
      <c r="N26"/>
      <c r="O26"/>
      <c r="P26"/>
    </row>
    <row r="27" spans="1:16" s="1" customFormat="1" ht="12">
      <c r="A27" s="18" t="s">
        <v>15</v>
      </c>
      <c r="B27" s="19">
        <v>1</v>
      </c>
      <c r="C27" s="19"/>
      <c r="D27" s="19">
        <v>1</v>
      </c>
      <c r="E27" s="19"/>
      <c r="F27" s="19">
        <v>1</v>
      </c>
      <c r="G27" s="19"/>
      <c r="H27" s="19">
        <v>1</v>
      </c>
      <c r="I27" s="19"/>
      <c r="J27"/>
      <c r="K27"/>
      <c r="L27"/>
      <c r="M27"/>
      <c r="N27"/>
      <c r="O27"/>
      <c r="P27"/>
    </row>
    <row r="28" spans="1:16" ht="12">
      <c r="A28" s="4" t="s">
        <v>67</v>
      </c>
      <c r="B28" s="13">
        <f>B92</f>
        <v>41.74926850599896</v>
      </c>
      <c r="C28" s="12"/>
      <c r="D28" s="13">
        <f>B92</f>
        <v>41.74926850599896</v>
      </c>
      <c r="F28" s="13">
        <f>F92</f>
        <v>41.74926850599896</v>
      </c>
      <c r="G28" s="12"/>
      <c r="H28" s="13">
        <v>41.74926850599896</v>
      </c>
      <c r="J28"/>
      <c r="K28"/>
      <c r="L28"/>
      <c r="M28"/>
      <c r="N28"/>
      <c r="O28"/>
      <c r="P28"/>
    </row>
    <row r="29" spans="1:16" ht="12">
      <c r="A29" s="4" t="s">
        <v>71</v>
      </c>
      <c r="B29" s="13">
        <f>B96</f>
        <v>68.8364136888275</v>
      </c>
      <c r="C29" s="12"/>
      <c r="D29" s="32">
        <f>B29</f>
        <v>68.8364136888275</v>
      </c>
      <c r="F29" s="13">
        <f>F96</f>
        <v>68.8364136888275</v>
      </c>
      <c r="G29" s="12"/>
      <c r="H29" s="13">
        <v>68.8364136888275</v>
      </c>
      <c r="J29"/>
      <c r="K29"/>
      <c r="L29"/>
      <c r="M29"/>
      <c r="N29"/>
      <c r="O29"/>
      <c r="P29"/>
    </row>
    <row r="30" spans="1:16" ht="12">
      <c r="A30" s="4" t="s">
        <v>58</v>
      </c>
      <c r="B30" s="19">
        <f>B83</f>
        <v>38.72018741769152</v>
      </c>
      <c r="C30" s="12"/>
      <c r="D30" s="13">
        <f>B30</f>
        <v>38.72018741769152</v>
      </c>
      <c r="F30" s="19">
        <f>F83</f>
        <v>38.72018741769152</v>
      </c>
      <c r="G30" s="12"/>
      <c r="H30" s="13">
        <v>38.72018741769152</v>
      </c>
      <c r="I30"/>
      <c r="J30"/>
      <c r="K30"/>
      <c r="L30"/>
      <c r="M30"/>
      <c r="N30"/>
      <c r="O30"/>
      <c r="P30"/>
    </row>
    <row r="31" spans="1:18" s="9" customFormat="1" ht="12.75" thickBot="1">
      <c r="A31" s="15"/>
      <c r="B31" s="15"/>
      <c r="C31" s="15"/>
      <c r="D31" s="15"/>
      <c r="E31" s="15"/>
      <c r="F31" s="15"/>
      <c r="G31" s="15"/>
      <c r="H31" s="15"/>
      <c r="I31"/>
      <c r="J31"/>
      <c r="K31"/>
      <c r="L31"/>
      <c r="M31"/>
      <c r="N31"/>
      <c r="O31"/>
      <c r="P31"/>
      <c r="Q31"/>
      <c r="R31"/>
    </row>
    <row r="32" spans="9:18" s="5" customFormat="1" ht="12.75" thickTop="1">
      <c r="I32"/>
      <c r="J32"/>
      <c r="K32"/>
      <c r="L32"/>
      <c r="M32"/>
      <c r="N32"/>
      <c r="O32"/>
      <c r="P32"/>
      <c r="Q32"/>
      <c r="R32"/>
    </row>
    <row r="33" spans="1:18" ht="12">
      <c r="A33" s="4" t="s">
        <v>8</v>
      </c>
      <c r="B33" s="23">
        <f>B17</f>
        <v>28.866020450307634</v>
      </c>
      <c r="C33" s="23"/>
      <c r="D33" s="23">
        <f>(1.096124*D$51)+(-0.278869*D$52)+(0.182745*D$53)</f>
        <v>28.86602669281296</v>
      </c>
      <c r="E33" s="23"/>
      <c r="F33" s="23">
        <f>F17</f>
        <v>28.866020450307634</v>
      </c>
      <c r="G33" s="23"/>
      <c r="H33" s="23">
        <f>(1.096124*H$51)+(-0.278869*H$52)+(0.182745*H$53)</f>
        <v>28.86602669281296</v>
      </c>
      <c r="I33" s="23"/>
      <c r="J33"/>
      <c r="K33"/>
      <c r="L33"/>
      <c r="M33"/>
      <c r="N33"/>
      <c r="O33"/>
      <c r="P33"/>
      <c r="Q33"/>
      <c r="R33"/>
    </row>
    <row r="34" spans="1:18" ht="12">
      <c r="A34" s="4" t="s">
        <v>9</v>
      </c>
      <c r="B34" s="23">
        <f aca="true" t="shared" si="0" ref="B34:B39">B18</f>
        <v>18.418651851244416</v>
      </c>
      <c r="C34" s="23"/>
      <c r="D34" s="23">
        <f>(0.454369*D$51)+(0.473533*D$52)+(0.072098*D$53)</f>
        <v>18.418641354199504</v>
      </c>
      <c r="E34" s="23"/>
      <c r="F34" s="23">
        <f aca="true" t="shared" si="1" ref="F34:F39">F18</f>
        <v>18.418651851244416</v>
      </c>
      <c r="G34" s="23"/>
      <c r="H34" s="23">
        <f>(0.454369*H$51)+(0.473533*H$52)+(0.072098*H$53)</f>
        <v>18.418641354199504</v>
      </c>
      <c r="I34" s="23"/>
      <c r="J34"/>
      <c r="K34"/>
      <c r="L34"/>
      <c r="M34"/>
      <c r="N34"/>
      <c r="O34"/>
      <c r="P34"/>
      <c r="Q34"/>
      <c r="R34"/>
    </row>
    <row r="35" spans="1:18" ht="12">
      <c r="A35" s="4" t="s">
        <v>10</v>
      </c>
      <c r="B35" s="23">
        <f t="shared" si="0"/>
        <v>2.677891918478045</v>
      </c>
      <c r="C35" s="23"/>
      <c r="D35" s="23">
        <f>(-0.009628*D$51)+(-0.005698*D$52)+(1.015326*D$53)</f>
        <v>2.677887676632438</v>
      </c>
      <c r="E35" s="23"/>
      <c r="F35" s="23">
        <f t="shared" si="1"/>
        <v>2.677891918478045</v>
      </c>
      <c r="G35" s="23"/>
      <c r="H35" s="23">
        <f>(-0.009628*H$51)+(-0.005698*H$52)+(1.015326*H$53)</f>
        <v>2.677887676632438</v>
      </c>
      <c r="I35" s="23"/>
      <c r="J35"/>
      <c r="K35"/>
      <c r="L35"/>
      <c r="M35"/>
      <c r="N35"/>
      <c r="O35"/>
      <c r="P35"/>
      <c r="Q35"/>
      <c r="R35"/>
    </row>
    <row r="36" spans="1:18" ht="12">
      <c r="A36" s="4" t="s">
        <v>11</v>
      </c>
      <c r="B36" s="23">
        <f t="shared" si="0"/>
        <v>96.42190751267881</v>
      </c>
      <c r="C36" s="23"/>
      <c r="D36" s="23">
        <f>D20</f>
        <v>96.42190751267881</v>
      </c>
      <c r="E36" s="23"/>
      <c r="F36" s="23">
        <f t="shared" si="1"/>
        <v>96.42190751267881</v>
      </c>
      <c r="G36" s="23"/>
      <c r="H36" s="23">
        <f>H20</f>
        <v>96.42190751267881</v>
      </c>
      <c r="I36" s="23"/>
      <c r="J36"/>
      <c r="K36"/>
      <c r="L36"/>
      <c r="M36"/>
      <c r="N36"/>
      <c r="O36"/>
      <c r="P36"/>
      <c r="Q36"/>
      <c r="R36"/>
    </row>
    <row r="37" spans="1:18" ht="12">
      <c r="A37" s="4" t="s">
        <v>12</v>
      </c>
      <c r="B37" s="23">
        <f t="shared" si="0"/>
        <v>100</v>
      </c>
      <c r="C37" s="23"/>
      <c r="D37" s="23">
        <f>D21</f>
        <v>100</v>
      </c>
      <c r="E37" s="23"/>
      <c r="F37" s="23">
        <f t="shared" si="1"/>
        <v>100</v>
      </c>
      <c r="G37" s="23"/>
      <c r="H37" s="23">
        <f>H21</f>
        <v>100</v>
      </c>
      <c r="I37" s="23"/>
      <c r="J37"/>
      <c r="K37"/>
      <c r="L37"/>
      <c r="M37"/>
      <c r="N37"/>
      <c r="O37"/>
      <c r="P37"/>
      <c r="Q37"/>
      <c r="R37"/>
    </row>
    <row r="38" spans="1:18" ht="12">
      <c r="A38" s="4" t="s">
        <v>13</v>
      </c>
      <c r="B38" s="23">
        <f t="shared" si="0"/>
        <v>82.5204979761259</v>
      </c>
      <c r="C38" s="23"/>
      <c r="D38" s="23">
        <f>D22</f>
        <v>82.5204979761259</v>
      </c>
      <c r="E38" s="23"/>
      <c r="F38" s="23">
        <f t="shared" si="1"/>
        <v>82.5204979761259</v>
      </c>
      <c r="G38" s="23"/>
      <c r="H38" s="23">
        <f>H22</f>
        <v>82.5204979761259</v>
      </c>
      <c r="I38" s="23"/>
      <c r="J38"/>
      <c r="K38"/>
      <c r="L38"/>
      <c r="M38"/>
      <c r="N38"/>
      <c r="O38"/>
      <c r="P38"/>
      <c r="Q38"/>
      <c r="R38"/>
    </row>
    <row r="39" spans="1:18" ht="12">
      <c r="A39" s="4" t="s">
        <v>14</v>
      </c>
      <c r="B39" s="23">
        <f t="shared" si="0"/>
        <v>100</v>
      </c>
      <c r="C39" s="23"/>
      <c r="D39" s="23">
        <f>D23</f>
        <v>100</v>
      </c>
      <c r="E39" s="23"/>
      <c r="F39" s="23">
        <f t="shared" si="1"/>
        <v>100</v>
      </c>
      <c r="G39" s="23"/>
      <c r="H39" s="23">
        <f>H23</f>
        <v>100</v>
      </c>
      <c r="I39" s="23"/>
      <c r="J39"/>
      <c r="K39"/>
      <c r="L39"/>
      <c r="M39"/>
      <c r="N39"/>
      <c r="O39"/>
      <c r="P39"/>
      <c r="Q39"/>
      <c r="R39"/>
    </row>
    <row r="40" spans="1:18" s="1" customFormat="1" ht="12">
      <c r="A40" s="18" t="s">
        <v>15</v>
      </c>
      <c r="B40" s="22">
        <f>B27</f>
        <v>1</v>
      </c>
      <c r="C40" s="22"/>
      <c r="D40" s="22">
        <f>D27</f>
        <v>1</v>
      </c>
      <c r="E40" s="22"/>
      <c r="F40" s="22">
        <f>F27</f>
        <v>1</v>
      </c>
      <c r="G40" s="22"/>
      <c r="H40" s="22">
        <f>H27</f>
        <v>1</v>
      </c>
      <c r="I40" s="22"/>
      <c r="J40"/>
      <c r="K40"/>
      <c r="L40"/>
      <c r="M40"/>
      <c r="N40"/>
      <c r="O40"/>
      <c r="P40"/>
      <c r="Q40" s="22"/>
      <c r="R40" s="22"/>
    </row>
    <row r="41" spans="1:18" s="6" customFormat="1" ht="12">
      <c r="A41" s="24" t="s">
        <v>16</v>
      </c>
      <c r="B41" s="25">
        <f>B40*(1-(1/3.6)*EXP((-B39-42)/92))</f>
        <v>0.9406564657356247</v>
      </c>
      <c r="C41" s="25"/>
      <c r="D41" s="25">
        <f>D40*(1-((1/3.6)*EXP(-(D39+42)/92)))</f>
        <v>0.9406564657356247</v>
      </c>
      <c r="E41" s="25"/>
      <c r="F41" s="25">
        <f>F40*(1-(1/3.6)*EXP((-F39-42)/92))</f>
        <v>0.9406564657356247</v>
      </c>
      <c r="G41" s="25"/>
      <c r="H41" s="25">
        <f>H40*(1-((1/3.6)*EXP(-(H39+42)/92)))</f>
        <v>0.9406564657356247</v>
      </c>
      <c r="I41" s="25"/>
      <c r="J41"/>
      <c r="K41"/>
      <c r="L41"/>
      <c r="M41"/>
      <c r="N41"/>
      <c r="O41"/>
      <c r="P41"/>
      <c r="Q41" s="25"/>
      <c r="R41" s="25"/>
    </row>
    <row r="42" spans="1:18" s="1" customFormat="1" ht="12">
      <c r="A42" s="18" t="s">
        <v>17</v>
      </c>
      <c r="B42" s="22">
        <f>B24</f>
        <v>20</v>
      </c>
      <c r="C42" s="22"/>
      <c r="D42" s="22">
        <f>D24</f>
        <v>20</v>
      </c>
      <c r="E42" s="22"/>
      <c r="F42" s="22">
        <f>F24</f>
        <v>20</v>
      </c>
      <c r="G42" s="22"/>
      <c r="H42" s="22">
        <f>H24</f>
        <v>20</v>
      </c>
      <c r="I42" s="22"/>
      <c r="J42"/>
      <c r="K42"/>
      <c r="L42"/>
      <c r="M42"/>
      <c r="N42"/>
      <c r="O42"/>
      <c r="P42"/>
      <c r="Q42" s="22"/>
      <c r="R42" s="22"/>
    </row>
    <row r="43" spans="1:18" s="2" customFormat="1" ht="12">
      <c r="A43" s="16" t="s">
        <v>18</v>
      </c>
      <c r="B43" s="23">
        <f>B25</f>
        <v>0.69</v>
      </c>
      <c r="C43" s="23"/>
      <c r="D43" s="23">
        <f>D25</f>
        <v>0.69</v>
      </c>
      <c r="E43" s="23"/>
      <c r="F43" s="23">
        <f>F25</f>
        <v>0.69</v>
      </c>
      <c r="G43" s="23"/>
      <c r="H43" s="23">
        <f>H25</f>
        <v>0.69</v>
      </c>
      <c r="I43" s="23"/>
      <c r="J43"/>
      <c r="K43"/>
      <c r="L43"/>
      <c r="M43"/>
      <c r="N43"/>
      <c r="O43"/>
      <c r="P43"/>
      <c r="Q43" s="23"/>
      <c r="R43" s="23"/>
    </row>
    <row r="44" spans="1:18" s="1" customFormat="1" ht="12">
      <c r="A44" s="18" t="s">
        <v>19</v>
      </c>
      <c r="B44" s="22">
        <f>B26</f>
        <v>1</v>
      </c>
      <c r="C44" s="22"/>
      <c r="D44" s="22">
        <f>D26</f>
        <v>1</v>
      </c>
      <c r="E44" s="22"/>
      <c r="F44" s="22">
        <f>F26</f>
        <v>1</v>
      </c>
      <c r="G44" s="22"/>
      <c r="H44" s="22">
        <f>H26</f>
        <v>1</v>
      </c>
      <c r="I44" s="22"/>
      <c r="J44"/>
      <c r="K44"/>
      <c r="L44"/>
      <c r="M44"/>
      <c r="N44"/>
      <c r="O44"/>
      <c r="P44"/>
      <c r="Q44" s="22"/>
      <c r="R44" s="22"/>
    </row>
    <row r="45" spans="1:18" s="6" customFormat="1" ht="12">
      <c r="A45" s="24" t="s">
        <v>20</v>
      </c>
      <c r="B45" s="25">
        <f>1/(5*B39+1)</f>
        <v>0.001996007984031936</v>
      </c>
      <c r="C45" s="25"/>
      <c r="D45" s="25">
        <f>1/((5*D39)+1)</f>
        <v>0.001996007984031936</v>
      </c>
      <c r="E45" s="25"/>
      <c r="F45" s="25">
        <f>1/(5*F39+1)</f>
        <v>0.001996007984031936</v>
      </c>
      <c r="G45" s="25"/>
      <c r="H45" s="25">
        <f>1/((5*H39)+1)</f>
        <v>0.001996007984031936</v>
      </c>
      <c r="I45" s="25"/>
      <c r="J45"/>
      <c r="K45"/>
      <c r="L45"/>
      <c r="M45"/>
      <c r="N45"/>
      <c r="O45"/>
      <c r="P45"/>
      <c r="Q45" s="25"/>
      <c r="R45" s="25"/>
    </row>
    <row r="46" spans="1:18" ht="12">
      <c r="A46" s="4" t="s">
        <v>21</v>
      </c>
      <c r="B46" s="23">
        <f>0.2*B45^4*5*B39+0.1*(1-B45^4)^2*(5*B39)^(1/3)</f>
        <v>0.7937005275461669</v>
      </c>
      <c r="C46" s="23"/>
      <c r="D46" s="23">
        <f>(0.2*(D45^4)*5*D39)+0.1*((1-(D45^4))^2)*(5*D39)^(1/3)</f>
        <v>0.7937005275461669</v>
      </c>
      <c r="E46" s="23"/>
      <c r="F46" s="23">
        <f>0.2*F45^4*5*F39+0.1*(1-F45^4)^2*(5*F39)^(1/3)</f>
        <v>0.7937005275461669</v>
      </c>
      <c r="G46" s="23"/>
      <c r="H46" s="23">
        <f>(0.2*(H45^4)*5*H39)+0.1*((1-(H45^4))^2)*(5*H39)^(1/3)</f>
        <v>0.7937005275461669</v>
      </c>
      <c r="I46" s="23"/>
      <c r="J46"/>
      <c r="K46"/>
      <c r="L46"/>
      <c r="M46"/>
      <c r="N46"/>
      <c r="O46"/>
      <c r="P46"/>
      <c r="Q46"/>
      <c r="R46"/>
    </row>
    <row r="47" spans="1:18" ht="12">
      <c r="A47" s="4" t="s">
        <v>22</v>
      </c>
      <c r="B47" s="23">
        <f>B42/B37</f>
        <v>0.2</v>
      </c>
      <c r="C47" s="23"/>
      <c r="D47" s="23">
        <f>D42/D37</f>
        <v>0.2</v>
      </c>
      <c r="E47" s="23"/>
      <c r="F47" s="23">
        <f>F42/F37</f>
        <v>0.2</v>
      </c>
      <c r="G47" s="23"/>
      <c r="H47" s="23">
        <f>H42/H37</f>
        <v>0.2</v>
      </c>
      <c r="I47" s="23"/>
      <c r="J47"/>
      <c r="K47"/>
      <c r="L47"/>
      <c r="M47"/>
      <c r="N47"/>
      <c r="O47"/>
      <c r="P47"/>
      <c r="Q47"/>
      <c r="R47"/>
    </row>
    <row r="48" spans="1:18" ht="12">
      <c r="A48" s="4" t="s">
        <v>23</v>
      </c>
      <c r="B48" s="23">
        <f>0.725*(1/B47)^0.2</f>
        <v>1.0003040045593807</v>
      </c>
      <c r="C48" s="23"/>
      <c r="D48" s="23">
        <f>0.725*POWER((1/D47),0.2)</f>
        <v>1.0003040045593807</v>
      </c>
      <c r="E48" s="23"/>
      <c r="F48" s="23">
        <f>0.725*(1/F47)^0.2</f>
        <v>1.0003040045593807</v>
      </c>
      <c r="G48" s="23"/>
      <c r="H48" s="23">
        <f>0.725*POWER((1/H47),0.2)</f>
        <v>1.0003040045593807</v>
      </c>
      <c r="I48" s="23"/>
      <c r="J48"/>
      <c r="K48"/>
      <c r="L48"/>
      <c r="M48"/>
      <c r="N48"/>
      <c r="O48"/>
      <c r="P48"/>
      <c r="Q48"/>
      <c r="R48"/>
    </row>
    <row r="49" spans="1:18" ht="12">
      <c r="A49" s="4" t="s">
        <v>24</v>
      </c>
      <c r="B49" s="23">
        <f>0.725*(1/B47)^0.2</f>
        <v>1.0003040045593807</v>
      </c>
      <c r="C49" s="23"/>
      <c r="D49" s="23">
        <f>0.725*POWER((1/D47),0.2)</f>
        <v>1.0003040045593807</v>
      </c>
      <c r="E49" s="23"/>
      <c r="F49" s="23">
        <f>0.725*(1/F47)^0.2</f>
        <v>1.0003040045593807</v>
      </c>
      <c r="G49" s="23"/>
      <c r="H49" s="23">
        <f>0.725*POWER((1/H47),0.2)</f>
        <v>1.0003040045593807</v>
      </c>
      <c r="I49" s="23"/>
      <c r="J49"/>
      <c r="K49"/>
      <c r="L49"/>
      <c r="M49"/>
      <c r="N49"/>
      <c r="O49"/>
      <c r="P49"/>
      <c r="Q49"/>
      <c r="R49"/>
    </row>
    <row r="50" spans="1:18" ht="12">
      <c r="A50" s="4" t="s">
        <v>25</v>
      </c>
      <c r="B50" s="23">
        <f>1.48+B47^(1/2)</f>
        <v>1.9272135954999579</v>
      </c>
      <c r="C50" s="23"/>
      <c r="D50" s="23">
        <f>1.48+POWER(D47,0.5)</f>
        <v>1.9272135954999579</v>
      </c>
      <c r="E50" s="23"/>
      <c r="F50" s="23">
        <f>1.48+F47^(1/2)</f>
        <v>1.9272135954999579</v>
      </c>
      <c r="G50" s="23"/>
      <c r="H50" s="23">
        <f>1.48+POWER(H47,0.5)</f>
        <v>1.9272135954999579</v>
      </c>
      <c r="I50" s="23"/>
      <c r="J50"/>
      <c r="K50"/>
      <c r="L50"/>
      <c r="M50"/>
      <c r="N50"/>
      <c r="O50"/>
      <c r="P50"/>
      <c r="Q50"/>
      <c r="R50"/>
    </row>
    <row r="51" spans="1:18" ht="12">
      <c r="A51" s="4" t="s">
        <v>26</v>
      </c>
      <c r="B51" s="23">
        <f>0.7328*(B33)+0.4296*(B34)-0.1624*(B35)</f>
        <v>28.630782973719203</v>
      </c>
      <c r="C51" s="23"/>
      <c r="D51" s="23">
        <f>D57/((D$37*D$41/D54)+1-D$41)</f>
        <v>28.630779760534768</v>
      </c>
      <c r="E51" s="23"/>
      <c r="F51" s="23">
        <f>0.7328*(F33)+0.4296*(F34)-0.1624*(F35)</f>
        <v>28.630782973719203</v>
      </c>
      <c r="G51" s="23"/>
      <c r="H51" s="23">
        <f>H57/((H$37*H$41/H54)+1-H$41)</f>
        <v>28.630779760534768</v>
      </c>
      <c r="I51" s="23"/>
      <c r="J51"/>
      <c r="K51"/>
      <c r="L51"/>
      <c r="M51"/>
      <c r="N51"/>
      <c r="O51"/>
      <c r="P51"/>
      <c r="Q51"/>
      <c r="R51"/>
    </row>
    <row r="52" spans="1:18" ht="12">
      <c r="A52" s="4" t="s">
        <v>27</v>
      </c>
      <c r="B52" s="23">
        <f>-0.7036*(B33)+1.6975*(B34)+0.0061*(B35)</f>
        <v>10.971864669353659</v>
      </c>
      <c r="C52" s="23"/>
      <c r="D52" s="23">
        <f>D58/((D$37*D$41/D55)+1-D$41)</f>
        <v>10.971849652412653</v>
      </c>
      <c r="E52" s="23"/>
      <c r="F52" s="23">
        <f>-0.7036*(F33)+1.6975*(F34)+0.0061*(F35)</f>
        <v>10.971864669353659</v>
      </c>
      <c r="G52" s="23"/>
      <c r="H52" s="23">
        <f>H58/((H$37*H$41/H55)+1-H$41)</f>
        <v>10.971849652412653</v>
      </c>
      <c r="I52" s="23"/>
      <c r="J52"/>
      <c r="K52"/>
      <c r="L52"/>
      <c r="M52"/>
      <c r="N52"/>
      <c r="O52"/>
      <c r="P52"/>
      <c r="Q52"/>
      <c r="R52"/>
    </row>
    <row r="53" spans="1:18" ht="12">
      <c r="A53" s="4" t="s">
        <v>28</v>
      </c>
      <c r="B53" s="23">
        <f>0.003*(B33)+0.0136*(B34)+0.9834*(B35)</f>
        <v>2.9705306391591564</v>
      </c>
      <c r="C53" s="23"/>
      <c r="D53" s="23">
        <f>D59/((D$37*D$41/D56)+1-D$41)</f>
        <v>2.9705359889201244</v>
      </c>
      <c r="E53" s="23"/>
      <c r="F53" s="23">
        <f>0.003*(F33)+0.0136*(F34)+0.9834*(F35)</f>
        <v>2.9705306391591564</v>
      </c>
      <c r="G53" s="23"/>
      <c r="H53" s="23">
        <f>H59/((H$37*H$41/H56)+1-H$41)</f>
        <v>2.9705359889201244</v>
      </c>
      <c r="I53" s="23"/>
      <c r="J53"/>
      <c r="K53"/>
      <c r="L53"/>
      <c r="M53"/>
      <c r="N53"/>
      <c r="O53"/>
      <c r="P53"/>
      <c r="Q53"/>
      <c r="R53"/>
    </row>
    <row r="54" spans="1:18" ht="12">
      <c r="A54" s="4" t="s">
        <v>29</v>
      </c>
      <c r="B54" s="23">
        <f>0.7328*(B36)+0.4296*(B37)-0.1624*(B38)</f>
        <v>100.2166449539682</v>
      </c>
      <c r="C54" s="23"/>
      <c r="D54" s="23">
        <f>(0.7328*D$36)+(0.4296*D$37)+(-0.1624*D$38)</f>
        <v>100.2166449539682</v>
      </c>
      <c r="E54" s="23"/>
      <c r="F54" s="23">
        <f>0.7328*(F36)+0.4296*(F37)-0.1624*(F38)</f>
        <v>100.2166449539682</v>
      </c>
      <c r="G54" s="23"/>
      <c r="H54" s="23">
        <f>(0.7328*H$36)+(0.4296*H$37)+(-0.1624*H$38)</f>
        <v>100.2166449539682</v>
      </c>
      <c r="I54" s="23"/>
      <c r="J54"/>
      <c r="K54"/>
      <c r="L54"/>
      <c r="M54"/>
      <c r="N54"/>
      <c r="O54"/>
      <c r="P54"/>
      <c r="Q54"/>
      <c r="R54"/>
    </row>
    <row r="55" spans="1:18" ht="12">
      <c r="A55" s="4" t="s">
        <v>30</v>
      </c>
      <c r="B55" s="23">
        <f>-0.7036*(B36)+1.6975*(B37)+0.0061*(B38)</f>
        <v>102.41092091173356</v>
      </c>
      <c r="C55" s="23"/>
      <c r="D55" s="23">
        <f>(-0.7036*D$36)+(1.6975*D$37)+(0.0061*D$38)</f>
        <v>102.41092091173356</v>
      </c>
      <c r="E55" s="23"/>
      <c r="F55" s="23">
        <f>-0.7036*(F36)+1.6975*(F37)+0.0061*(F38)</f>
        <v>102.41092091173356</v>
      </c>
      <c r="G55" s="23"/>
      <c r="H55" s="23">
        <f>(-0.7036*H$36)+(1.6975*H$37)+(0.0061*H$38)</f>
        <v>102.41092091173356</v>
      </c>
      <c r="I55" s="23"/>
      <c r="J55"/>
      <c r="K55"/>
      <c r="L55"/>
      <c r="M55"/>
      <c r="N55"/>
      <c r="O55"/>
      <c r="P55"/>
      <c r="Q55"/>
      <c r="R55"/>
    </row>
    <row r="56" spans="1:18" ht="12">
      <c r="A56" s="4" t="s">
        <v>31</v>
      </c>
      <c r="B56" s="23">
        <f>0.003*(B36)+0.0136*(B37)+0.9834*(B38)</f>
        <v>82.79992343226024</v>
      </c>
      <c r="C56" s="23"/>
      <c r="D56" s="23">
        <f>(0.003*D$36)+(0.0136*D$37)+(0.9834*D$38)</f>
        <v>82.79992343226024</v>
      </c>
      <c r="E56" s="23"/>
      <c r="F56" s="23">
        <f>0.003*(F36)+0.0136*(F37)+0.9834*(F38)</f>
        <v>82.79992343226024</v>
      </c>
      <c r="G56" s="23"/>
      <c r="H56" s="23">
        <f>(0.003*H$36)+(0.0136*H$37)+(0.9834*H$38)</f>
        <v>82.79992343226024</v>
      </c>
      <c r="I56" s="23"/>
      <c r="J56"/>
      <c r="K56"/>
      <c r="L56"/>
      <c r="M56"/>
      <c r="N56"/>
      <c r="O56"/>
      <c r="P56"/>
      <c r="Q56"/>
      <c r="R56"/>
    </row>
    <row r="57" spans="1:18" ht="12">
      <c r="A57" s="4" t="s">
        <v>32</v>
      </c>
      <c r="B57" s="23">
        <f>(B41*(B37/B54)+1-B41)*B51</f>
        <v>28.572562868145205</v>
      </c>
      <c r="C57" s="23"/>
      <c r="D57" s="23">
        <f>(1.5591525*D$69)+(-0.544723*D$70)+(-0.014445*D$71)</f>
        <v>28.572559661494708</v>
      </c>
      <c r="E57" s="23"/>
      <c r="F57" s="23">
        <f>(F41*(F37/F54)+1-F41)*F51</f>
        <v>28.572562868145205</v>
      </c>
      <c r="G57" s="23"/>
      <c r="H57" s="23">
        <f>(1.5591525*H$69)+(-0.544723*H$70)+(-0.014445*H$71)</f>
        <v>28.572559661494708</v>
      </c>
      <c r="I57" s="23"/>
      <c r="J57"/>
      <c r="K57"/>
      <c r="L57"/>
      <c r="M57"/>
      <c r="N57"/>
      <c r="O57"/>
      <c r="P57"/>
      <c r="Q57"/>
      <c r="R57"/>
    </row>
    <row r="58" spans="1:18" ht="12">
      <c r="A58" s="4" t="s">
        <v>33</v>
      </c>
      <c r="B58" s="23">
        <f>(B41*(B37/B55)+1-B41)*B52</f>
        <v>10.72889717233813</v>
      </c>
      <c r="C58" s="23"/>
      <c r="D58" s="23">
        <f>(-0.714327*D$69)+(1.85031*D$70)+(-0.135976*D$71)</f>
        <v>10.728882487941197</v>
      </c>
      <c r="E58" s="23"/>
      <c r="F58" s="23">
        <f>(F41*(F37/F55)+1-F41)*F52</f>
        <v>10.72889717233813</v>
      </c>
      <c r="G58" s="23"/>
      <c r="H58" s="23">
        <f>(-0.714327*H$69)+(1.85031*H$70)+(-0.135976*H$71)</f>
        <v>10.728882487941197</v>
      </c>
      <c r="I58" s="23"/>
      <c r="J58"/>
      <c r="K58"/>
      <c r="L58"/>
      <c r="M58"/>
      <c r="N58"/>
      <c r="O58"/>
      <c r="P58"/>
      <c r="Q58"/>
      <c r="R58"/>
    </row>
    <row r="59" spans="1:18" ht="12">
      <c r="A59" s="4" t="s">
        <v>34</v>
      </c>
      <c r="B59" s="23">
        <f>(B41*(B37/B56)+1-B41)*B53</f>
        <v>3.550981589089816</v>
      </c>
      <c r="C59" s="23"/>
      <c r="D59" s="23">
        <f>(0.010776*D$69)+(0.005219*D$70)+(0.984006*D$71)</f>
        <v>3.5509879842107592</v>
      </c>
      <c r="E59" s="23"/>
      <c r="F59" s="23">
        <f>(F41*(F37/F56)+1-F41)*F53</f>
        <v>3.550981589089816</v>
      </c>
      <c r="G59" s="23"/>
      <c r="H59" s="23">
        <f>(0.010776*H$69)+(0.005219*H$70)+(0.984006*H$71)</f>
        <v>3.5509879842107592</v>
      </c>
      <c r="I59" s="23"/>
      <c r="J59"/>
      <c r="K59"/>
      <c r="L59"/>
      <c r="M59"/>
      <c r="N59"/>
      <c r="O59"/>
      <c r="P59"/>
      <c r="Q59"/>
      <c r="R59"/>
    </row>
    <row r="60" spans="1:18" ht="12">
      <c r="A60" s="4" t="s">
        <v>35</v>
      </c>
      <c r="B60" s="23">
        <f>(B41*(B37/B54)+1-B41)*B54</f>
        <v>100.01285647724902</v>
      </c>
      <c r="C60" s="23"/>
      <c r="D60" s="23">
        <f>((D$37*(D$41/D54))+(1-D$41))*D54</f>
        <v>100.01285647724903</v>
      </c>
      <c r="E60" s="23"/>
      <c r="F60" s="23">
        <f>(F41*(F37/F54)+1-F41)*F54</f>
        <v>100.01285647724902</v>
      </c>
      <c r="G60" s="23"/>
      <c r="H60" s="23">
        <f>((H$37*(H$41/H54))+(1-H$41))*H54</f>
        <v>100.01285647724903</v>
      </c>
      <c r="I60" s="23"/>
      <c r="J60"/>
      <c r="K60"/>
      <c r="L60"/>
      <c r="M60"/>
      <c r="N60"/>
      <c r="O60"/>
      <c r="P60"/>
      <c r="Q60"/>
      <c r="R60"/>
    </row>
    <row r="61" spans="1:18" ht="12">
      <c r="A61" s="4" t="s">
        <v>36</v>
      </c>
      <c r="B61" s="23">
        <f>(B41*(B37/B55)+1-B41)*B55</f>
        <v>100.14307256773415</v>
      </c>
      <c r="C61" s="23"/>
      <c r="D61" s="23">
        <f>((D$37*(D$41/D55))+(1-D$41))*D55</f>
        <v>100.14307256773417</v>
      </c>
      <c r="E61" s="23"/>
      <c r="F61" s="23">
        <f>(F41*(F37/F55)+1-F41)*F55</f>
        <v>100.14307256773415</v>
      </c>
      <c r="G61" s="23"/>
      <c r="H61" s="23">
        <f>((H$37*(H$41/H55))+(1-H$41))*H55</f>
        <v>100.14307256773417</v>
      </c>
      <c r="I61" s="23"/>
      <c r="J61"/>
      <c r="K61"/>
      <c r="L61"/>
      <c r="M61"/>
      <c r="N61"/>
      <c r="O61"/>
      <c r="P61"/>
      <c r="Q61"/>
      <c r="R61"/>
    </row>
    <row r="62" spans="1:18" ht="12">
      <c r="A62" s="4" t="s">
        <v>37</v>
      </c>
      <c r="B62" s="23">
        <f>(B41*(B37/B56)+1-B41)*B56</f>
        <v>98.97928666685245</v>
      </c>
      <c r="C62" s="23"/>
      <c r="D62" s="23">
        <f>((D$37*(D$41/D56))+(1-D$41))*D56</f>
        <v>98.97928666685247</v>
      </c>
      <c r="E62" s="23"/>
      <c r="F62" s="23">
        <f>(F41*(F37/F56)+1-F41)*F56</f>
        <v>98.97928666685245</v>
      </c>
      <c r="G62" s="23"/>
      <c r="H62" s="23">
        <f>((H$37*(H$41/H56))+(1-H$41))*H56</f>
        <v>98.97928666685247</v>
      </c>
      <c r="I62" s="23"/>
      <c r="J62"/>
      <c r="K62"/>
      <c r="L62"/>
      <c r="M62"/>
      <c r="N62"/>
      <c r="O62"/>
      <c r="P62"/>
      <c r="Q62"/>
      <c r="R62"/>
    </row>
    <row r="63" spans="1:18" s="1" customFormat="1" ht="12">
      <c r="A63" s="18" t="s">
        <v>38</v>
      </c>
      <c r="B63" s="22">
        <f>1.096124*B57-0.278869*B58+0.182745*B59</f>
        <v>28.976039206228254</v>
      </c>
      <c r="C63" s="22"/>
      <c r="D63" s="22">
        <f>(1.096124*D$57)+(-0.278869*D$58)+(0.182745*D$59)</f>
        <v>28.976040955041153</v>
      </c>
      <c r="E63" s="22"/>
      <c r="F63" s="22">
        <f>1.096124*F57-0.278869*F58+0.182745*F59</f>
        <v>28.976039206228254</v>
      </c>
      <c r="G63" s="22"/>
      <c r="H63" s="22">
        <f>(1.096124*H$57)+(-0.278869*H$58)+(0.182745*H$59)</f>
        <v>28.976040955041153</v>
      </c>
      <c r="I63" s="22"/>
      <c r="J63"/>
      <c r="K63"/>
      <c r="L63"/>
      <c r="M63"/>
      <c r="N63"/>
      <c r="O63"/>
      <c r="P63"/>
      <c r="Q63" s="22"/>
      <c r="R63" s="22"/>
    </row>
    <row r="64" spans="1:18" s="1" customFormat="1" ht="12">
      <c r="A64" s="18" t="s">
        <v>39</v>
      </c>
      <c r="B64" s="22">
        <f>0.454369*B57+0.473533*B58+0.072098*B59</f>
        <v>18.318992353155256</v>
      </c>
      <c r="C64" s="22"/>
      <c r="D64" s="22">
        <f>(0.454369*D$57)+(0.473533*D$58)+(0.072098*D$59)</f>
        <v>18.318984403681576</v>
      </c>
      <c r="E64" s="22"/>
      <c r="F64" s="22">
        <f>0.454369*F57+0.473533*F58+0.072098*F59</f>
        <v>18.318992353155256</v>
      </c>
      <c r="G64" s="22"/>
      <c r="H64" s="22">
        <f>(0.454369*H$57)+(0.473533*H$58)+(0.072098*H$59)</f>
        <v>18.318984403681576</v>
      </c>
      <c r="I64" s="22"/>
      <c r="J64"/>
      <c r="K64"/>
      <c r="L64"/>
      <c r="M64"/>
      <c r="N64"/>
      <c r="O64"/>
      <c r="P64"/>
      <c r="Q64" s="22"/>
      <c r="R64" s="22"/>
    </row>
    <row r="65" spans="1:18" s="1" customFormat="1" ht="12">
      <c r="A65" s="18" t="s">
        <v>40</v>
      </c>
      <c r="B65" s="22">
        <f>-0.009628*B57-0.005698*B58+1.015326*B59</f>
        <v>3.269174041541722</v>
      </c>
      <c r="C65" s="22"/>
      <c r="D65" s="22">
        <f>(-0.009628*D$57)+(-0.005698*D$58)+(1.015326*D$59)</f>
        <v>3.269180649219613</v>
      </c>
      <c r="E65" s="22"/>
      <c r="F65" s="22">
        <f>-0.009628*F57-0.005698*F58+1.015326*F59</f>
        <v>3.269174041541722</v>
      </c>
      <c r="G65" s="22"/>
      <c r="H65" s="22">
        <f>(-0.009628*H$57)+(-0.005698*H$58)+(1.015326*H$59)</f>
        <v>3.269180649219613</v>
      </c>
      <c r="I65" s="22"/>
      <c r="J65"/>
      <c r="K65"/>
      <c r="L65"/>
      <c r="M65"/>
      <c r="N65"/>
      <c r="O65"/>
      <c r="P65"/>
      <c r="Q65" s="22"/>
      <c r="R65" s="22"/>
    </row>
    <row r="66" spans="1:18" s="1" customFormat="1" ht="12">
      <c r="A66" s="18" t="s">
        <v>41</v>
      </c>
      <c r="B66" s="22">
        <f>1.096124*B60-0.278869*B61+0.182745*B62</f>
        <v>99.7876635313106</v>
      </c>
      <c r="C66" s="22"/>
      <c r="D66" s="22">
        <f>(1.096124*D$60)+(-0.278869*D$61)+(0.182745*D$62)</f>
        <v>99.78766353131061</v>
      </c>
      <c r="E66" s="22"/>
      <c r="F66" s="22">
        <f>1.096124*F60-0.278869*F61+0.182745*F62</f>
        <v>99.7876635313106</v>
      </c>
      <c r="G66" s="22"/>
      <c r="H66" s="22">
        <f>(1.096124*H$60)+(-0.278869*H$61)+(0.182745*H$62)</f>
        <v>99.78766353131061</v>
      </c>
      <c r="I66" s="22"/>
      <c r="J66"/>
      <c r="K66"/>
      <c r="L66"/>
      <c r="M66"/>
      <c r="N66"/>
      <c r="O66"/>
      <c r="P66"/>
      <c r="Q66" s="22"/>
      <c r="R66" s="22"/>
    </row>
    <row r="67" spans="1:18" s="1" customFormat="1" ht="12">
      <c r="A67" s="18" t="s">
        <v>42</v>
      </c>
      <c r="B67" s="22">
        <f>0.454369*B60+0.473533*B61+0.072098*B62</f>
        <v>99.99999977703473</v>
      </c>
      <c r="C67" s="22"/>
      <c r="D67" s="22">
        <f>(0.454369*D$60)+(0.473533*D$61)+(0.072098*D$62)</f>
        <v>99.99999977703476</v>
      </c>
      <c r="E67" s="22"/>
      <c r="F67" s="22">
        <f>0.454369*F60+0.473533*F61+0.072098*F62</f>
        <v>99.99999977703473</v>
      </c>
      <c r="G67" s="22"/>
      <c r="H67" s="22">
        <f>(0.454369*H$60)+(0.473533*H$61)+(0.072098*H$62)</f>
        <v>99.99999977703476</v>
      </c>
      <c r="I67" s="22"/>
      <c r="J67"/>
      <c r="K67"/>
      <c r="L67"/>
      <c r="M67"/>
      <c r="N67"/>
      <c r="O67"/>
      <c r="P67"/>
      <c r="Q67" s="22"/>
      <c r="R67" s="22"/>
    </row>
    <row r="68" spans="1:18" s="1" customFormat="1" ht="12">
      <c r="A68" s="18" t="s">
        <v>43</v>
      </c>
      <c r="B68" s="22">
        <f>-0.009628*B60-0.005698*B61+1.015326*B62</f>
        <v>98.96270420465471</v>
      </c>
      <c r="C68" s="22"/>
      <c r="D68" s="22">
        <f>(-0.009628*D$60)+(-0.005698*D$61)+(1.015326*D$62)</f>
        <v>98.96270420465474</v>
      </c>
      <c r="E68" s="22"/>
      <c r="F68" s="22">
        <f>-0.009628*F60-0.005698*F61+1.015326*F62</f>
        <v>98.96270420465471</v>
      </c>
      <c r="G68" s="22"/>
      <c r="H68" s="22">
        <f>(-0.009628*H$60)+(-0.005698*H$61)+(1.015326*H$62)</f>
        <v>98.96270420465474</v>
      </c>
      <c r="I68" s="22"/>
      <c r="J68"/>
      <c r="K68"/>
      <c r="L68"/>
      <c r="M68"/>
      <c r="N68"/>
      <c r="O68"/>
      <c r="P68"/>
      <c r="Q68" s="22"/>
      <c r="R68" s="22"/>
    </row>
    <row r="69" spans="1:18" s="1" customFormat="1" ht="12">
      <c r="A69" s="18" t="s">
        <v>44</v>
      </c>
      <c r="B69" s="22">
        <f>0.38971*B63+0.68898*B64-0.07868*B65</f>
        <v>23.65645297694762</v>
      </c>
      <c r="C69" s="22"/>
      <c r="D69" s="22">
        <f>IF(((D75-0.1)&gt;0),(100/D46)*(((27.13*ABS(D75-0.1))/(400-ABS(D75-0.1)))^(1/0.42)),(-1)*(100/D46)*(((27.13*ABS(D75-0.1))/(400-ABS(D75-0.1)))^(1/0.42)))</f>
        <v>23.656448325202497</v>
      </c>
      <c r="E69" s="22"/>
      <c r="F69" s="22">
        <f>0.38971*F63+0.68898*F64-0.07868*F65</f>
        <v>23.65645297694762</v>
      </c>
      <c r="G69" s="22"/>
      <c r="H69" s="22">
        <f>IF(((H75-0.1)&gt;0),(100/H46)*(((27.13*ABS(H75-0.1))/(400-ABS(H75-0.1)))^(1/0.42)),(-1)*(100/H46)*(((27.13*ABS(H75-0.1))/(400-ABS(H75-0.1)))^(1/0.42)))</f>
        <v>23.656448325202497</v>
      </c>
      <c r="I69" s="22"/>
      <c r="J69"/>
      <c r="K69"/>
      <c r="L69"/>
      <c r="M69"/>
      <c r="N69"/>
      <c r="O69"/>
      <c r="P69"/>
      <c r="Q69" s="22"/>
      <c r="R69" s="22"/>
    </row>
    <row r="70" spans="1:18" s="1" customFormat="1" ht="12">
      <c r="A70" s="18" t="s">
        <v>45</v>
      </c>
      <c r="B70" s="22">
        <f>-0.22981*B63+1.1834*B64+0.04641*B65</f>
        <v>15.171434348008566</v>
      </c>
      <c r="C70" s="22"/>
      <c r="D70" s="22">
        <f>IF(((D76-0.1)&gt;0),(100/D46)*(((27.13*ABS(D76-0.1))/(400-ABS(D76-0.1)))^(1/0.42)),(-1)*(100/D46)*(((27.13*ABS(D76-0.1))/(400-ABS(D76-0.1)))^(1/0.42)))</f>
        <v>15.171431486865885</v>
      </c>
      <c r="E70" s="22"/>
      <c r="F70" s="22">
        <f>-0.22981*F63+1.1834*F64+0.04641*F65</f>
        <v>15.171434348008566</v>
      </c>
      <c r="G70" s="22"/>
      <c r="H70" s="22">
        <f>IF(((H76-0.1)&gt;0),(100/H46)*(((27.13*ABS(H76-0.1))/(400-ABS(H76-0.1)))^(1/0.42)),(-1)*(100/H46)*(((27.13*ABS(H76-0.1))/(400-ABS(H76-0.1)))^(1/0.42)))</f>
        <v>15.171431486865885</v>
      </c>
      <c r="I70" s="22"/>
      <c r="J70"/>
      <c r="K70"/>
      <c r="L70"/>
      <c r="M70"/>
      <c r="N70"/>
      <c r="O70"/>
      <c r="P70"/>
      <c r="Q70" s="22"/>
      <c r="R70" s="22"/>
    </row>
    <row r="71" spans="1:18" s="1" customFormat="1" ht="12">
      <c r="A71" s="18" t="s">
        <v>46</v>
      </c>
      <c r="B71" s="22">
        <f>B65</f>
        <v>3.269174041541722</v>
      </c>
      <c r="C71" s="22"/>
      <c r="D71" s="22">
        <f>IF(((D77-0.1)&gt;0),(100/D46)*(((27.13*ABS(D77-0.1))/(400-ABS(D77-0.1)))^(1/0.42)),(-1)*(100/D46)*(((27.13*ABS(D77-0.1))/(400-ABS(D77-0.1)))^(1/0.42)))</f>
        <v>3.269173558015321</v>
      </c>
      <c r="E71" s="22"/>
      <c r="F71" s="22">
        <f>F65</f>
        <v>3.269174041541722</v>
      </c>
      <c r="G71" s="22"/>
      <c r="H71" s="22">
        <f>IF(((H77-0.1)&gt;0),(100/H46)*(((27.13*ABS(H77-0.1))/(400-ABS(H77-0.1)))^(1/0.42)),(-1)*(100/H46)*(((27.13*ABS(H77-0.1))/(400-ABS(H77-0.1)))^(1/0.42)))</f>
        <v>3.269173558015321</v>
      </c>
      <c r="I71" s="22"/>
      <c r="J71"/>
      <c r="K71"/>
      <c r="L71"/>
      <c r="M71"/>
      <c r="N71"/>
      <c r="O71"/>
      <c r="P71"/>
      <c r="Q71" s="22"/>
      <c r="R71" s="22"/>
    </row>
    <row r="72" spans="1:18" s="1" customFormat="1" ht="12">
      <c r="A72" s="18" t="s">
        <v>47</v>
      </c>
      <c r="B72" s="22">
        <f>0.38971*B66+0.68898*B67-0.07868*B68</f>
        <v>99.99986463434622</v>
      </c>
      <c r="C72" s="22"/>
      <c r="D72" s="22">
        <f>(0.7409792*D60)+(0.218025*D61)+(0.041006*D62)</f>
        <v>99.999884407868</v>
      </c>
      <c r="E72" s="22"/>
      <c r="F72" s="22">
        <f>0.38971*F66+0.68898*F67-0.07868*F68</f>
        <v>99.99986463434622</v>
      </c>
      <c r="G72" s="22"/>
      <c r="H72" s="22">
        <f>(0.7409792*H60)+(0.218025*H61)+(0.041006*H62)</f>
        <v>99.999884407868</v>
      </c>
      <c r="I72" s="22"/>
      <c r="J72"/>
      <c r="K72"/>
      <c r="L72"/>
      <c r="M72"/>
      <c r="N72"/>
      <c r="O72"/>
      <c r="P72"/>
      <c r="Q72" s="22"/>
      <c r="R72" s="22"/>
    </row>
    <row r="73" spans="1:18" s="1" customFormat="1" ht="12">
      <c r="A73" s="18" t="s">
        <v>48</v>
      </c>
      <c r="B73" s="22">
        <f>-0.22981*B66+1.1834*B67+0.04641*B68</f>
        <v>100.00065588215043</v>
      </c>
      <c r="C73" s="22"/>
      <c r="D73" s="22">
        <f>(0.285353*D60)+(0.624201*D61)+(0.090445*D62)</f>
        <v>100.00055625678816</v>
      </c>
      <c r="E73" s="22"/>
      <c r="F73" s="22">
        <f>-0.22981*F66+1.1834*F67+0.04641*F68</f>
        <v>100.00065588215043</v>
      </c>
      <c r="G73" s="22"/>
      <c r="H73" s="22">
        <f>(0.285353*H60)+(0.624201*H61)+(0.090445*H62)</f>
        <v>100.00055625678816</v>
      </c>
      <c r="I73" s="22"/>
      <c r="J73"/>
      <c r="K73"/>
      <c r="L73"/>
      <c r="M73"/>
      <c r="N73"/>
      <c r="O73"/>
      <c r="P73"/>
      <c r="Q73" s="22"/>
      <c r="R73" s="22"/>
    </row>
    <row r="74" spans="1:18" s="1" customFormat="1" ht="12">
      <c r="A74" s="18" t="s">
        <v>49</v>
      </c>
      <c r="B74" s="22">
        <f>B68</f>
        <v>98.96270420465471</v>
      </c>
      <c r="C74" s="22"/>
      <c r="D74" s="22">
        <f>(-0.009628*D60)+(-0.005698*D61)+(1.015326*D62)</f>
        <v>98.96270420465474</v>
      </c>
      <c r="E74" s="22"/>
      <c r="F74" s="22">
        <f>F68</f>
        <v>98.96270420465471</v>
      </c>
      <c r="G74" s="22"/>
      <c r="H74" s="22">
        <f>(-0.009628*H60)+(-0.005698*H61)+(1.015326*H62)</f>
        <v>98.96270420465474</v>
      </c>
      <c r="I74" s="22"/>
      <c r="J74"/>
      <c r="K74"/>
      <c r="L74"/>
      <c r="M74"/>
      <c r="N74"/>
      <c r="O74"/>
      <c r="P74"/>
      <c r="Q74" s="22"/>
      <c r="R74" s="22"/>
    </row>
    <row r="75" spans="1:18" s="1" customFormat="1" ht="12">
      <c r="A75" s="18" t="s">
        <v>50</v>
      </c>
      <c r="B75" s="22">
        <f>IF((0&gt;B69),((-400*(B46*ABS(B69)/100)^0.42)/(((B46*ABS(B69)/100)^0.42)+27.13))+0.1,((400*(B46*ABS(B69)/100)^0.42)/(((B46*ABS(B69)/100)^0.42)+27.13))+0.1)</f>
        <v>7.27243799338543</v>
      </c>
      <c r="C75" s="22"/>
      <c r="D75" s="22">
        <f>(460/1403)*((D$90/D$48)+0.305)+(451/1403)*D$81+(288/1403)*D$82</f>
        <v>7.272437411651544</v>
      </c>
      <c r="E75" s="22"/>
      <c r="F75" s="22">
        <f>IF((0&gt;F69),((-400*(F46*ABS(F69)/100)^0.42)/(((F46*ABS(F69)/100)^0.42)+27.13))+0.1,((400*(F46*ABS(F69)/100)^0.42)/(((F46*ABS(F69)/100)^0.42)+27.13))+0.1)</f>
        <v>7.27243799338543</v>
      </c>
      <c r="G75" s="22"/>
      <c r="H75" s="22">
        <f>(460/1403)*((H$90/H$48)+0.305)+(451/1403)*H$81+(288/1403)*H$82</f>
        <v>7.272437411651544</v>
      </c>
      <c r="I75" s="22"/>
      <c r="J75"/>
      <c r="K75"/>
      <c r="L75"/>
      <c r="M75"/>
      <c r="N75"/>
      <c r="O75"/>
      <c r="P75"/>
      <c r="Q75" s="22"/>
      <c r="R75" s="22"/>
    </row>
    <row r="76" spans="1:18" s="1" customFormat="1" ht="12">
      <c r="A76" s="18" t="s">
        <v>51</v>
      </c>
      <c r="B76" s="22">
        <f>IF((0&gt;B70),((-400*(B46*ABS(B70)/100)^0.42)/(((B46*ABS(B70)/100)^0.42)+27.13))+0.1,((400*(B46*ABS(B70)/100)^0.42)/(((B46*ABS(B70)/100)^0.42)+27.13))+0.1)</f>
        <v>6.06989376193532</v>
      </c>
      <c r="C76" s="22"/>
      <c r="D76" s="22">
        <f>(460/1403)*((D$90/D$48)+0.305)-(891/1403)*D$81-(261/1403)*D$82</f>
        <v>6.069893296136692</v>
      </c>
      <c r="E76" s="22"/>
      <c r="F76" s="22">
        <f>IF((0&gt;F70),((-400*(F46*ABS(F70)/100)^0.42)/(((F46*ABS(F70)/100)^0.42)+27.13))+0.1,((400*(F46*ABS(F70)/100)^0.42)/(((F46*ABS(F70)/100)^0.42)+27.13))+0.1)</f>
        <v>6.06989376193532</v>
      </c>
      <c r="G76" s="22"/>
      <c r="H76" s="22">
        <f>(460/1403)*((H$90/H$48)+0.305)-(891/1403)*H$81-(261/1403)*H$82</f>
        <v>6.069893296136692</v>
      </c>
      <c r="I76" s="22"/>
      <c r="J76"/>
      <c r="K76"/>
      <c r="L76"/>
      <c r="M76"/>
      <c r="N76"/>
      <c r="O76"/>
      <c r="P76"/>
      <c r="Q76" s="22"/>
      <c r="R76" s="22"/>
    </row>
    <row r="77" spans="1:18" s="1" customFormat="1" ht="12">
      <c r="A77" s="18" t="s">
        <v>52</v>
      </c>
      <c r="B77" s="22">
        <f>IF((0&gt;B71),((-400*(B46*ABS(B71)/100)^0.42)/(((B46*ABS(B71)/100)^0.42)+27.13))+0.1,((400*(B46*ABS(B71)/100)^0.42)/(((B46*ABS(B71)/100)^0.42)+27.13))+0.1)</f>
        <v>3.2556597866733408</v>
      </c>
      <c r="C77" s="22"/>
      <c r="D77" s="22">
        <f>(460/1403)*((D$90/D$48)+0.305)-(220/1403)*D$81-(6300/1403)*D$82</f>
        <v>3.2556595921902556</v>
      </c>
      <c r="E77" s="22"/>
      <c r="F77" s="22">
        <f>IF((0&gt;F71),((-400*(F46*ABS(F71)/100)^0.42)/(((F46*ABS(F71)/100)^0.42)+27.13))+0.1,((400*(F46*ABS(F71)/100)^0.42)/(((F46*ABS(F71)/100)^0.42)+27.13))+0.1)</f>
        <v>3.2556597866733408</v>
      </c>
      <c r="G77" s="22"/>
      <c r="H77" s="22">
        <f>(460/1403)*((H$90/H$48)+0.305)-(220/1403)*H$81-(6300/1403)*H$82</f>
        <v>3.2556595921902556</v>
      </c>
      <c r="I77" s="22"/>
      <c r="J77"/>
      <c r="K77"/>
      <c r="L77"/>
      <c r="M77"/>
      <c r="N77"/>
      <c r="O77"/>
      <c r="P77"/>
      <c r="Q77" s="22"/>
      <c r="R77" s="22"/>
    </row>
    <row r="78" spans="1:18" s="1" customFormat="1" ht="12">
      <c r="A78" s="18" t="s">
        <v>53</v>
      </c>
      <c r="B78" s="22">
        <f>IF((B72&gt;0),((400*(B$46*B72/100)^0.42)/(((B$46*B72/100)^0.42)+27.13))+0.1,((-400*(B$46*B72/100)^0.42)/(((B$46*B72/100)^0.42)+27.13))+0.1)</f>
        <v>13.047203377858787</v>
      </c>
      <c r="C78" s="22"/>
      <c r="D78" s="22">
        <f>((400*((D$46*D72/100)^0.42))/(27.13+(D$46*D72/100)^0.42))+0.1</f>
        <v>13.047204418306036</v>
      </c>
      <c r="E78" s="22"/>
      <c r="F78" s="22">
        <f>IF((F72&gt;0),((400*(F$46*F72/100)^0.42)/(((F$46*F72/100)^0.42)+27.13))+0.1,((-400*(F$46*F72/100)^0.42)/(((F$46*F72/100)^0.42)+27.13))+0.1)</f>
        <v>13.047203377858787</v>
      </c>
      <c r="G78" s="22"/>
      <c r="H78" s="22">
        <f>((400*((H$46*H72/100)^0.42))/(27.13+(H$46*H72/100)^0.42))+0.1</f>
        <v>13.047204418306036</v>
      </c>
      <c r="I78" s="22"/>
      <c r="J78"/>
      <c r="K78"/>
      <c r="L78"/>
      <c r="M78"/>
      <c r="N78"/>
      <c r="O78"/>
      <c r="P78"/>
      <c r="Q78" s="22"/>
      <c r="R78" s="22"/>
    </row>
    <row r="79" spans="1:18" s="1" customFormat="1" ht="12">
      <c r="A79" s="18" t="s">
        <v>54</v>
      </c>
      <c r="B79" s="22">
        <f>IF((B73&gt;0),((400*(B$46*B73/100)^0.42)/(((B$46*B73/100)^0.42)+27.13))+0.1,((-400*(B$46*B73/100)^0.42)/(((B$46*B73/100)^0.42)+27.13))+0.1)</f>
        <v>13.047245011801598</v>
      </c>
      <c r="C79" s="22"/>
      <c r="D79" s="22">
        <f>((400*((D$46*D73/100)^0.42))/(27.13+(D$46*D73/100)^0.42))+0.1</f>
        <v>13.047239769717002</v>
      </c>
      <c r="E79" s="22"/>
      <c r="F79" s="22">
        <f>IF((F73&gt;0),((400*(F$46*F73/100)^0.42)/(((F$46*F73/100)^0.42)+27.13))+0.1,((-400*(F$46*F73/100)^0.42)/(((F$46*F73/100)^0.42)+27.13))+0.1)</f>
        <v>13.047245011801598</v>
      </c>
      <c r="G79" s="22"/>
      <c r="H79" s="22">
        <f>((400*((H$46*H73/100)^0.42))/(27.13+(H$46*H73/100)^0.42))+0.1</f>
        <v>13.047239769717002</v>
      </c>
      <c r="I79" s="22"/>
      <c r="J79"/>
      <c r="K79"/>
      <c r="L79"/>
      <c r="M79"/>
      <c r="N79"/>
      <c r="O79"/>
      <c r="P79"/>
      <c r="Q79" s="22"/>
      <c r="R79" s="22"/>
    </row>
    <row r="80" spans="1:18" s="1" customFormat="1" ht="12">
      <c r="A80" s="18" t="s">
        <v>55</v>
      </c>
      <c r="B80" s="22">
        <f>IF((B74&gt;0),((400*(B$46*B74/100)^0.42)/(((B$46*B74/100)^0.42)+27.13))+0.1,((-400*(B$46*B74/100)^0.42)/(((B$46*B74/100)^0.42)+27.13))+0.1)</f>
        <v>12.992457063273333</v>
      </c>
      <c r="C80" s="22"/>
      <c r="D80" s="22">
        <f>((400*((D$46*D74/100)^0.42))/(27.13+(D$46*D74/100)^0.42))+0.1</f>
        <v>12.992457063273333</v>
      </c>
      <c r="E80" s="22"/>
      <c r="F80" s="22">
        <f>IF((F74&gt;0),((400*(F$46*F74/100)^0.42)/(((F$46*F74/100)^0.42)+27.13))+0.1,((-400*(F$46*F74/100)^0.42)/(((F$46*F74/100)^0.42)+27.13))+0.1)</f>
        <v>12.992457063273333</v>
      </c>
      <c r="G80" s="22"/>
      <c r="H80" s="22">
        <f>((400*((H$46*H74/100)^0.42))/(27.13+(H$46*H74/100)^0.42))+0.1</f>
        <v>12.992457063273333</v>
      </c>
      <c r="I80" s="22"/>
      <c r="J80"/>
      <c r="K80"/>
      <c r="L80"/>
      <c r="M80"/>
      <c r="N80"/>
      <c r="O80"/>
      <c r="P80"/>
      <c r="Q80" s="22"/>
      <c r="R80" s="22"/>
    </row>
    <row r="81" spans="1:18" ht="12">
      <c r="A81" s="4" t="s">
        <v>56</v>
      </c>
      <c r="B81" s="23">
        <f>B75-12*B76/11+B77/11</f>
        <v>0.9467047791535662</v>
      </c>
      <c r="C81" s="23"/>
      <c r="D81" s="23">
        <f>IF((D94=0),0,IF(ABS(SIN(D83*PI()/180))&gt;=ABS(COS(D83*PI()/180)),(((D90/D48)+0.305)*(2+(21/20))*(460/1403))/(((D89/D94)/SIN(D83*PI()/180))+(2+(21/20))*(220/1403)*(COS(D83*PI()/180)/SIN(D83*PI()/180))-(27/1403)+(21/20)*(6300/1403))*(COS(D83*PI()/180)/SIN(D83*PI()/180)),(((D90/D48)+0.305)*(2+(21/20))*(460/1403))/(((D89/D94)/COS(D83*PI()/180))+(2+(21/20))*(220/1403)-((27/1403)-(21/20)*(6300/1403))*(SIN(D83*PI()/180)/COS(D83*PI()/180)))))</f>
        <v>0.9467046878833578</v>
      </c>
      <c r="E81" s="23"/>
      <c r="F81" s="23">
        <f>F75-12*F76/11+F77/11</f>
        <v>0.9467047791535662</v>
      </c>
      <c r="G81" s="23"/>
      <c r="H81" s="23">
        <f>IF((H94=0),0,IF(ABS(SIN(H83*PI()/180))&gt;=ABS(COS(H83*PI()/180)),(((H90/H48)+0.305)*(2+(21/20))*(460/1403))/(((H89/H94)/SIN(H83*PI()/180))+(2+(21/20))*(220/1403)*(COS(H83*PI()/180)/SIN(H83*PI()/180))-(27/1403)+(21/20)*(6300/1403))*(COS(H83*PI()/180)/SIN(H83*PI()/180)),(((H90/H48)+0.305)*(2+(21/20))*(460/1403))/(((H89/H94)/COS(H83*PI()/180))+(2+(21/20))*(220/1403)-((27/1403)-(21/20)*(6300/1403))*(SIN(H83*PI()/180)/COS(H83*PI()/180)))))</f>
        <v>0.9467046878833578</v>
      </c>
      <c r="I81" s="23"/>
      <c r="J81"/>
      <c r="K81"/>
      <c r="L81"/>
      <c r="M81"/>
      <c r="N81"/>
      <c r="O81"/>
      <c r="P81"/>
      <c r="Q81"/>
      <c r="R81"/>
    </row>
    <row r="82" spans="1:18" ht="12">
      <c r="A82" s="4" t="s">
        <v>57</v>
      </c>
      <c r="B82" s="23">
        <f>(1/9)*(B75+B76-2*B77)</f>
        <v>0.7590013535526742</v>
      </c>
      <c r="C82" s="23"/>
      <c r="D82" s="23">
        <f>IF((D94=0),0,IF(ABS(SIN(D83*PI()/180))&gt;=ABS(COS(D83*PI()/180)),(((D90/D48)+0.305)*(2+(21/20))*(460/1403))/(((D89/D94)/SIN(D83*PI()/180))+(2+(21/20))*(220/1403)*(COS(D83*PI()/180)/SIN(D83*PI()/180))-(27/1403)+(21/20)*(6300/1403)),(((D90/D48)+0.305)*(2+(21/20))*(460/1403))/(((D89/D94)/COS(D83*PI()/180))+((2+(21/20))*(220/1403))-((27/1403)-(21/20)*(6300/1403))*(SIN(D83*PI()/180)/COS(D83*PI()/180)))*SIN(D83*PI()/180)/COS(D83*PI()/180)))</f>
        <v>0.759001280378636</v>
      </c>
      <c r="E82" s="23"/>
      <c r="F82" s="23">
        <f>(1/9)*(F75+F76-2*F77)</f>
        <v>0.7590013535526742</v>
      </c>
      <c r="G82" s="23"/>
      <c r="H82" s="23">
        <f>IF((H94=0),0,IF(ABS(SIN(H83*PI()/180))&gt;=ABS(COS(H83*PI()/180)),(((H90/H48)+0.305)*(2+(21/20))*(460/1403))/(((H89/H94)/SIN(H83*PI()/180))+(2+(21/20))*(220/1403)*(COS(H83*PI()/180)/SIN(H83*PI()/180))-(27/1403)+(21/20)*(6300/1403)),(((H90/H48)+0.305)*(2+(21/20))*(460/1403))/(((H89/H94)/COS(H83*PI()/180))+((2+(21/20))*(220/1403))-((27/1403)-(21/20)*(6300/1403))*(SIN(H83*PI()/180)/COS(H83*PI()/180)))*SIN(H83*PI()/180)/COS(H83*PI()/180)))</f>
        <v>0.759001280378636</v>
      </c>
      <c r="I82" s="23"/>
      <c r="J82"/>
      <c r="K82"/>
      <c r="L82"/>
      <c r="M82"/>
      <c r="N82"/>
      <c r="O82"/>
      <c r="P82"/>
      <c r="Q82"/>
      <c r="R82"/>
    </row>
    <row r="83" spans="1:18" s="1" customFormat="1" ht="12">
      <c r="A83" s="18" t="s">
        <v>58</v>
      </c>
      <c r="B83" s="22">
        <f>IF(B82&gt;=0,(360/(2*PI()))*ATAN2(B81,B82),360+(360/(2*PI()))*ATAN2(B81,B82))</f>
        <v>38.72018741769152</v>
      </c>
      <c r="C83" s="22"/>
      <c r="D83" s="22">
        <f>D30</f>
        <v>38.72018741769152</v>
      </c>
      <c r="E83" s="22"/>
      <c r="F83" s="22">
        <f>IF(F82&gt;=0,(360/(2*PI()))*ATAN2(F81,F82),360+(360/(2*PI()))*ATAN2(F81,F82))</f>
        <v>38.72018741769152</v>
      </c>
      <c r="G83" s="22"/>
      <c r="H83" s="22">
        <f>H30</f>
        <v>38.72018741769152</v>
      </c>
      <c r="I83" s="22"/>
      <c r="J83"/>
      <c r="K83"/>
      <c r="L83"/>
      <c r="M83"/>
      <c r="N83"/>
      <c r="O83"/>
      <c r="P83"/>
      <c r="Q83" s="22"/>
      <c r="R83" s="22"/>
    </row>
    <row r="84" spans="1:18" s="1" customFormat="1" ht="12">
      <c r="A84" s="18" t="s">
        <v>59</v>
      </c>
      <c r="B84" s="22">
        <f>IF(AND(B83&gt;=20.14,B83&lt;=90),(100*(B83-20.14)/0.8)/(((B83-20.14)/0.8)+(90-B83)/0.7),IF(AND(B83&gt;=90,B83&lt;=164.25),(100+(100*(B83-90)/0.7)/(((B83-90)/0.7)+(164.25-B83))),IF(AND(B83&gt;=164.25,B83&lt;=237.53),(200+(100*(B83-164.25))/((B83-164.25)+((237.53-B83)/1.2))),IF(AND(B83&gt;=237.53,B83&lt;=380.14),(300+(100*(B83-237.53)/1.2)/(((B83-237.53)/1.2)+(380.14-B83)/0.8)),IF(B83&lt;20.14,(300+(100*((B83+360)-237.53)/1.2)/((((B83+360)-237.53)/1.2)+(380.14-(B83+360))/0.8)),"Error")))))</f>
        <v>24.072063120330487</v>
      </c>
      <c r="C84" s="22"/>
      <c r="D84" s="22">
        <f>IF(AND(D83&gt;=20.14,D83&lt;=90),(100*(D83-20.14)/0.8)/(((D83-20.14)/0.8)+(90-D83)/0.7),IF(AND(D83&gt;=90,D83&lt;=164.25),(100+(100*(D83-90)/0.7)/(((D83-90)/0.7)+(164.25-D83))),IF(AND(D83&gt;=164.25,D83&lt;=237.53),(200+(100*(D83-164.25))/((D83-164.25)+((237.53-D83)/1.2))),IF(AND(D83&gt;=237.53,D83&lt;=380.14),(300+(100*(D83-237.53)/1.2)/(((D83-237.53)/1.2)+(380.14-D83)/0.8)),IF(D83&lt;20.14,(300+(100*((D83+360)-237.53)/1.2)/((((D83+360)-237.53)/1.2)+(380.14-(D83+360))/0.8)),"Error")))))</f>
        <v>24.072063120330487</v>
      </c>
      <c r="E84" s="22"/>
      <c r="F84" s="22">
        <f>IF(AND(F83&gt;=20.14,F83&lt;=90),(100*(F83-20.14)/0.8)/(((F83-20.14)/0.8)+(90-F83)/0.7),IF(AND(F83&gt;=90,F83&lt;=164.25),(100+(100*(F83-90)/0.7)/(((F83-90)/0.7)+(164.25-F83))),IF(AND(F83&gt;=164.25,F83&lt;=237.53),(200+(100*(F83-164.25))/((F83-164.25)+((237.53-F83)/1.2))),IF(AND(F83&gt;=237.53,F83&lt;=380.14),(300+(100*(F83-237.53)/1.2)/(((F83-237.53)/1.2)+(380.14-F83)/0.8)),IF(F83&lt;20.14,(300+(100*((F83+360)-237.53)/1.2)/((((F83+360)-237.53)/1.2)+(380.14-(F83+360))/0.8)),"Error")))))</f>
        <v>24.072063120330487</v>
      </c>
      <c r="G84" s="22"/>
      <c r="H84" s="22">
        <f>IF(AND(H83&gt;=20.14,H83&lt;=90),(100*(H83-20.14)/0.8)/(((H83-20.14)/0.8)+(90-H83)/0.7),IF(AND(H83&gt;=90,H83&lt;=164.25),(100+(100*(H83-90)/0.7)/(((H83-90)/0.7)+(164.25-H83))),IF(AND(H83&gt;=164.25,H83&lt;=237.53),(200+(100*(H83-164.25))/((H83-164.25)+((237.53-H83)/1.2))),IF(AND(H83&gt;=237.53,H83&lt;=380.14),(300+(100*(H83-237.53)/1.2)/(((H83-237.53)/1.2)+(380.14-H83)/0.8)),IF(H83&lt;20.14,(300+(100*((H83+360)-237.53)/1.2)/((((H83+360)-237.53)/1.2)+(380.14-(H83+360))/0.8)),"Error")))))</f>
        <v>24.072063120330487</v>
      </c>
      <c r="I84" s="22"/>
      <c r="J84"/>
      <c r="K84"/>
      <c r="L84"/>
      <c r="M84"/>
      <c r="N84"/>
      <c r="O84"/>
      <c r="P84"/>
      <c r="Q84" s="22"/>
      <c r="R84" s="22"/>
    </row>
    <row r="85" spans="1:18" s="7" customFormat="1" ht="12">
      <c r="A85" s="26" t="s">
        <v>60</v>
      </c>
      <c r="B85" s="27">
        <f>IF(B84&gt;300,B84-300,IF(B84&lt;100,100-B84,0))</f>
        <v>75.92793687966952</v>
      </c>
      <c r="C85" s="27"/>
      <c r="D85" s="27">
        <f>IF(D84&gt;300,D84-300,IF(D84&lt;100,100-D84,0))</f>
        <v>75.92793687966952</v>
      </c>
      <c r="E85" s="27"/>
      <c r="F85" s="27">
        <f>IF(F84&gt;300,F84-300,IF(F84&lt;100,100-F84,0))</f>
        <v>75.92793687966952</v>
      </c>
      <c r="G85" s="27"/>
      <c r="H85" s="27">
        <f>IF(H84&gt;300,H84-300,IF(H84&lt;100,100-H84,0))</f>
        <v>75.92793687966952</v>
      </c>
      <c r="I85" s="27"/>
      <c r="J85"/>
      <c r="K85"/>
      <c r="L85"/>
      <c r="M85"/>
      <c r="N85"/>
      <c r="O85"/>
      <c r="P85"/>
      <c r="Q85" s="27"/>
      <c r="R85" s="27"/>
    </row>
    <row r="86" spans="1:18" s="7" customFormat="1" ht="12">
      <c r="A86" s="26" t="s">
        <v>61</v>
      </c>
      <c r="B86" s="27">
        <f>IF(B84&lt;=100,B84,IF(B84&lt;200,200-B84,0))</f>
        <v>24.072063120330487</v>
      </c>
      <c r="C86" s="27"/>
      <c r="D86" s="27">
        <f>IF(D84&lt;=100,D84,IF(D84&lt;200,200-D84,0))</f>
        <v>24.072063120330487</v>
      </c>
      <c r="E86" s="27"/>
      <c r="F86" s="27">
        <f>IF(F84&lt;=100,F84,IF(F84&lt;200,200-F84,0))</f>
        <v>24.072063120330487</v>
      </c>
      <c r="G86" s="27"/>
      <c r="H86" s="27">
        <f>IF(H84&lt;=100,H84,IF(H84&lt;200,200-H84,0))</f>
        <v>24.072063120330487</v>
      </c>
      <c r="I86" s="27"/>
      <c r="J86"/>
      <c r="K86"/>
      <c r="L86"/>
      <c r="M86"/>
      <c r="N86"/>
      <c r="O86"/>
      <c r="P86"/>
      <c r="Q86" s="27"/>
      <c r="R86" s="27"/>
    </row>
    <row r="87" spans="1:18" s="7" customFormat="1" ht="12">
      <c r="A87" s="26" t="s">
        <v>62</v>
      </c>
      <c r="B87" s="27">
        <f>IF(B84&gt;100,IF(B84&lt;=200,B84-100,IF(B84&lt;300,300-B84,0)),0)</f>
        <v>0</v>
      </c>
      <c r="C87" s="27"/>
      <c r="D87" s="27">
        <f>IF(D84&gt;100,IF(D84&lt;=200,D84-100,IF(D84&lt;300,300-D84,0)),0)</f>
        <v>0</v>
      </c>
      <c r="E87" s="27"/>
      <c r="F87" s="27">
        <f>IF(F84&gt;100,IF(F84&lt;=200,F84-100,IF(F84&lt;300,300-F84,0)),0)</f>
        <v>0</v>
      </c>
      <c r="G87" s="27"/>
      <c r="H87" s="27">
        <f>IF(H84&gt;100,IF(H84&lt;=200,H84-100,IF(H84&lt;300,300-H84,0)),0)</f>
        <v>0</v>
      </c>
      <c r="I87" s="27"/>
      <c r="J87"/>
      <c r="K87"/>
      <c r="L87"/>
      <c r="M87"/>
      <c r="N87"/>
      <c r="O87"/>
      <c r="P87"/>
      <c r="Q87" s="27"/>
      <c r="R87" s="27"/>
    </row>
    <row r="88" spans="1:18" s="7" customFormat="1" ht="12">
      <c r="A88" s="26" t="s">
        <v>63</v>
      </c>
      <c r="B88" s="27">
        <f>IF(B84&gt;300,400-B84,IF(B84&gt;200,B84-200,0))</f>
        <v>0</v>
      </c>
      <c r="C88" s="27"/>
      <c r="D88" s="27">
        <f>IF(D84&gt;300,400-D84,IF(D84&gt;200,D84-200,0))</f>
        <v>0</v>
      </c>
      <c r="E88" s="27"/>
      <c r="F88" s="27">
        <f>IF(F84&gt;300,400-F84,IF(F84&gt;200,F84-200,0))</f>
        <v>0</v>
      </c>
      <c r="G88" s="27"/>
      <c r="H88" s="27">
        <f>IF(H84&gt;300,400-H84,IF(H84&gt;200,H84-200,0))</f>
        <v>0</v>
      </c>
      <c r="I88" s="27"/>
      <c r="J88"/>
      <c r="K88"/>
      <c r="L88"/>
      <c r="M88"/>
      <c r="N88"/>
      <c r="O88"/>
      <c r="P88"/>
      <c r="Q88" s="27"/>
      <c r="R88" s="27"/>
    </row>
    <row r="89" spans="1:18" ht="12">
      <c r="A89" s="4" t="s">
        <v>64</v>
      </c>
      <c r="B89" s="23">
        <f>((12500/13)*B44*B49)*(COS((B83*PI()/180)+2)+3.8)</f>
        <v>2795.596263519349</v>
      </c>
      <c r="C89" s="23"/>
      <c r="D89" s="23">
        <f>((50000/13)*B44*D49)*0.25*(COS((D83*3.141592/180)+2)+3.8)</f>
        <v>2795.596324255413</v>
      </c>
      <c r="E89" s="23"/>
      <c r="F89" s="23">
        <f>((12500/13)*F44*F49)*(COS((F83*PI()/180)+2)+3.8)</f>
        <v>2795.596263519349</v>
      </c>
      <c r="G89" s="23"/>
      <c r="H89" s="23">
        <f>((50000/13)*F44*H49)*0.25*(COS((H83*3.141592/180)+2)+3.8)</f>
        <v>2795.596324255413</v>
      </c>
      <c r="I89" s="23"/>
      <c r="J89"/>
      <c r="K89"/>
      <c r="L89"/>
      <c r="M89"/>
      <c r="N89"/>
      <c r="O89"/>
      <c r="P89"/>
      <c r="Q89"/>
      <c r="R89"/>
    </row>
    <row r="90" spans="1:18" ht="12">
      <c r="A90" s="4" t="s">
        <v>65</v>
      </c>
      <c r="B90" s="23">
        <f>(2*B75+B76+(1/20)*B77-0.305)*B48</f>
        <v>20.478776487414375</v>
      </c>
      <c r="C90" s="23"/>
      <c r="D90" s="23">
        <f>D91*((D92/100)^(1/(D43*D50)))</f>
        <v>20.47877484792556</v>
      </c>
      <c r="E90" s="23"/>
      <c r="F90" s="23">
        <f>(2*F75+F76+(1/20)*F77-0.305)*F48</f>
        <v>20.478776487414375</v>
      </c>
      <c r="G90" s="23"/>
      <c r="H90" s="23">
        <f>H91*((H92/100)^(1/(H43*H50)))</f>
        <v>20.47877484792556</v>
      </c>
      <c r="I90" s="23"/>
      <c r="J90"/>
      <c r="K90"/>
      <c r="L90"/>
      <c r="M90"/>
      <c r="N90"/>
      <c r="O90"/>
      <c r="P90"/>
      <c r="Q90"/>
      <c r="R90"/>
    </row>
    <row r="91" spans="1:18" ht="12">
      <c r="A91" s="4" t="s">
        <v>66</v>
      </c>
      <c r="B91" s="23">
        <f>(2*B78+B79+(1/20)*B80-0.305)*B48</f>
        <v>39.49827862820049</v>
      </c>
      <c r="C91" s="23"/>
      <c r="D91" s="23">
        <f>(2*D78+D79+(1/20)*D80-0.305)*D48</f>
        <v>39.498275466049364</v>
      </c>
      <c r="E91" s="23"/>
      <c r="F91" s="23">
        <f>(2*F78+F79+(1/20)*F80-0.305)*F48</f>
        <v>39.49827862820049</v>
      </c>
      <c r="G91" s="23"/>
      <c r="H91" s="23">
        <f>(2*H78+H79+(1/20)*H80-0.305)*H48</f>
        <v>39.498275466049364</v>
      </c>
      <c r="I91" s="23"/>
      <c r="J91"/>
      <c r="K91"/>
      <c r="L91"/>
      <c r="M91"/>
      <c r="N91"/>
      <c r="O91"/>
      <c r="P91"/>
      <c r="Q91"/>
      <c r="R91"/>
    </row>
    <row r="92" spans="1:18" ht="12">
      <c r="A92" s="4" t="s">
        <v>67</v>
      </c>
      <c r="B92" s="23">
        <f>100*(B90/B91)^(B43*B50)</f>
        <v>41.74926850599896</v>
      </c>
      <c r="C92" s="23"/>
      <c r="D92" s="23">
        <f>D28</f>
        <v>41.74926850599896</v>
      </c>
      <c r="E92" s="23"/>
      <c r="F92" s="23">
        <f>100*(F90/F91)^(F43*F50)</f>
        <v>41.74926850599896</v>
      </c>
      <c r="G92" s="23"/>
      <c r="H92" s="23">
        <f>H28</f>
        <v>41.74926850599896</v>
      </c>
      <c r="I92" s="23"/>
      <c r="J92"/>
      <c r="K92"/>
      <c r="L92"/>
      <c r="M92"/>
      <c r="N92"/>
      <c r="O92"/>
      <c r="P92"/>
      <c r="Q92"/>
      <c r="R92"/>
    </row>
    <row r="93" spans="1:18" ht="12">
      <c r="A93" s="4" t="s">
        <v>68</v>
      </c>
      <c r="B93" s="23">
        <f>(4/B43)*((B92/100)^0.5)*(B91+4)*(B46^0.25)</f>
        <v>153.78769012551012</v>
      </c>
      <c r="C93" s="23"/>
      <c r="D93" s="23">
        <f>(4/D43)*((D92/100)^0.5)*(D91+4)*D46^0.25</f>
        <v>153.78767894575927</v>
      </c>
      <c r="E93" s="23"/>
      <c r="F93" s="23">
        <f>(4/F43)*((F92/100)^0.5)*(F91+4)*(F46^0.25)</f>
        <v>153.78769012551012</v>
      </c>
      <c r="G93" s="23"/>
      <c r="H93" s="23">
        <f>(4/H43)*((H92/100)^0.5)*(H91+4)*H46^0.25</f>
        <v>153.78767894575927</v>
      </c>
      <c r="I93" s="23"/>
      <c r="J93"/>
      <c r="K93"/>
      <c r="L93"/>
      <c r="M93"/>
      <c r="N93"/>
      <c r="O93"/>
      <c r="P93"/>
      <c r="Q93"/>
      <c r="R93"/>
    </row>
    <row r="94" spans="1:18" ht="12">
      <c r="A94" s="4" t="s">
        <v>69</v>
      </c>
      <c r="B94" s="23">
        <f>(B89*(B81^2+B82^2)^0.5)/(B75+B76+(21/20)*B77)</f>
        <v>202.3873619613483</v>
      </c>
      <c r="C94" s="23"/>
      <c r="D94" s="23">
        <f>(D96/(((D92/100)^0.5)*(1.64-(0.29)^D47)^0.73))^(1/0.9)</f>
        <v>202.3873619613482</v>
      </c>
      <c r="E94" s="23"/>
      <c r="F94" s="23">
        <f>(F89*(F81^2+F82^2)^0.5)/(F75+F76+(21/20)*F77)</f>
        <v>202.3873619613483</v>
      </c>
      <c r="G94" s="23"/>
      <c r="H94" s="23">
        <f>(H96/(((H92/100)^0.5)*(1.64-(0.29)^H47)^0.73))^(1/0.9)</f>
        <v>202.3873619613482</v>
      </c>
      <c r="I94" s="23"/>
      <c r="J94"/>
      <c r="K94"/>
      <c r="L94"/>
      <c r="M94"/>
      <c r="N94"/>
      <c r="O94"/>
      <c r="P94"/>
      <c r="Q94"/>
      <c r="R94"/>
    </row>
    <row r="95" spans="1:18" ht="12">
      <c r="A95" s="4" t="s">
        <v>70</v>
      </c>
      <c r="B95" s="23">
        <f>100*(B97/B93)^0.5</f>
        <v>64.99881134340664</v>
      </c>
      <c r="C95" s="23"/>
      <c r="D95" s="23">
        <v>64.99881370598376</v>
      </c>
      <c r="E95" s="23"/>
      <c r="F95" s="23">
        <f>100*(F97/F93)^0.5</f>
        <v>64.99881134340664</v>
      </c>
      <c r="G95" s="23"/>
      <c r="H95" s="23">
        <v>64.99881370598376</v>
      </c>
      <c r="I95" s="23"/>
      <c r="J95"/>
      <c r="K95"/>
      <c r="L95"/>
      <c r="M95"/>
      <c r="N95"/>
      <c r="O95"/>
      <c r="P95"/>
      <c r="Q95"/>
      <c r="R95"/>
    </row>
    <row r="96" spans="1:18" ht="12">
      <c r="A96" s="4" t="s">
        <v>71</v>
      </c>
      <c r="B96" s="23">
        <f>(B94^0.9)*((B92/100)^0.5)*((1.64-0.29^B47)^0.73)</f>
        <v>68.8364136888275</v>
      </c>
      <c r="C96" s="23"/>
      <c r="D96" s="23">
        <f>D29</f>
        <v>68.8364136888275</v>
      </c>
      <c r="E96" s="23"/>
      <c r="F96" s="23">
        <f>(F94^0.9)*((F92/100)^0.5)*((1.64-0.29^F47)^0.73)</f>
        <v>68.8364136888275</v>
      </c>
      <c r="G96" s="23"/>
      <c r="H96" s="23">
        <f>H29</f>
        <v>68.8364136888275</v>
      </c>
      <c r="I96" s="23"/>
      <c r="J96"/>
      <c r="K96"/>
      <c r="L96"/>
      <c r="M96"/>
      <c r="N96"/>
      <c r="O96"/>
      <c r="P96"/>
      <c r="Q96"/>
      <c r="R96"/>
    </row>
    <row r="97" spans="1:18" ht="12">
      <c r="A97" s="4" t="s">
        <v>72</v>
      </c>
      <c r="B97" s="23">
        <f>B96*B46^0.25</f>
        <v>64.97292268998278</v>
      </c>
      <c r="C97" s="23"/>
      <c r="D97" s="23">
        <f>D96*(D46^0.25)</f>
        <v>64.97292268998278</v>
      </c>
      <c r="E97" s="23"/>
      <c r="F97" s="23">
        <f>F96*F46^0.25</f>
        <v>64.97292268998278</v>
      </c>
      <c r="G97" s="23"/>
      <c r="H97" s="23">
        <f>H96*(H46^0.25)</f>
        <v>64.97292268998278</v>
      </c>
      <c r="I97" s="23"/>
      <c r="J97"/>
      <c r="K97"/>
      <c r="L97"/>
      <c r="M97"/>
      <c r="N97"/>
      <c r="O97"/>
      <c r="P97"/>
      <c r="Q97"/>
      <c r="R97"/>
    </row>
    <row r="98" spans="2:18" ht="12">
      <c r="B98" s="23"/>
      <c r="C98" s="23"/>
      <c r="D98" s="23"/>
      <c r="E98" s="23"/>
      <c r="F98" s="23"/>
      <c r="G98" s="23"/>
      <c r="H98" s="23"/>
      <c r="I98" s="23"/>
      <c r="J98"/>
      <c r="K98"/>
      <c r="L98"/>
      <c r="M98"/>
      <c r="N98"/>
      <c r="O98"/>
      <c r="P98"/>
      <c r="Q98"/>
      <c r="R98"/>
    </row>
    <row r="99" spans="1:18" ht="12">
      <c r="A99" s="4" t="s">
        <v>73</v>
      </c>
      <c r="B99" s="23">
        <f>B96*COS(PI()*B$83/180)</f>
        <v>53.70686264969679</v>
      </c>
      <c r="C99" s="23"/>
      <c r="D99" s="23">
        <f>D$96*COS(D$83*PI()/180)</f>
        <v>53.70686264969679</v>
      </c>
      <c r="E99" s="23"/>
      <c r="F99" s="23">
        <f>F96*COS(PI()*F$83/180)</f>
        <v>53.70686264969679</v>
      </c>
      <c r="G99" s="23"/>
      <c r="H99" s="23">
        <f>H$96*COS(H$83*PI()/180)</f>
        <v>53.70686264969679</v>
      </c>
      <c r="I99" s="23"/>
      <c r="J99"/>
      <c r="K99"/>
      <c r="L99"/>
      <c r="M99"/>
      <c r="N99"/>
      <c r="O99"/>
      <c r="P99"/>
      <c r="Q99"/>
      <c r="R99"/>
    </row>
    <row r="100" spans="1:18" ht="12">
      <c r="A100" s="4" t="s">
        <v>74</v>
      </c>
      <c r="B100" s="23">
        <f>B96*SIN(PI()*B$83/180)</f>
        <v>43.058387729523766</v>
      </c>
      <c r="C100" s="23"/>
      <c r="D100" s="23">
        <f>D$96*SIN(D$83*PI()/180)</f>
        <v>43.058387729523766</v>
      </c>
      <c r="E100" s="23"/>
      <c r="F100" s="23">
        <f>F96*SIN(PI()*F$83/180)</f>
        <v>43.058387729523766</v>
      </c>
      <c r="G100" s="23"/>
      <c r="H100" s="23">
        <f>H$96*SIN(H$83*PI()/180)</f>
        <v>43.058387729523766</v>
      </c>
      <c r="I100" s="23"/>
      <c r="J100"/>
      <c r="K100"/>
      <c r="L100"/>
      <c r="M100"/>
      <c r="N100"/>
      <c r="O100"/>
      <c r="P100"/>
      <c r="Q100"/>
      <c r="R100"/>
    </row>
    <row r="101" spans="1:18" ht="12">
      <c r="A101" s="4" t="s">
        <v>75</v>
      </c>
      <c r="B101" s="23">
        <f>B97*COS(PI()*B$83/180)</f>
        <v>50.692528094714426</v>
      </c>
      <c r="C101" s="23"/>
      <c r="D101" s="23">
        <f>D$97*COS(D$83*PI()/180)</f>
        <v>50.692528094714426</v>
      </c>
      <c r="E101" s="23"/>
      <c r="F101" s="23">
        <f>F97*COS(PI()*F$83/180)</f>
        <v>50.692528094714426</v>
      </c>
      <c r="G101" s="23"/>
      <c r="H101" s="23">
        <f>H$97*COS(H$83*PI()/180)</f>
        <v>50.692528094714426</v>
      </c>
      <c r="I101" s="23"/>
      <c r="J101"/>
      <c r="K101"/>
      <c r="L101"/>
      <c r="M101"/>
      <c r="N101"/>
      <c r="O101"/>
      <c r="P101"/>
      <c r="Q101"/>
      <c r="R101"/>
    </row>
    <row r="102" spans="1:18" ht="12">
      <c r="A102" s="4" t="s">
        <v>76</v>
      </c>
      <c r="B102" s="23">
        <f>B97*SIN(PI()*B$83/180)</f>
        <v>40.641706143382656</v>
      </c>
      <c r="C102" s="23"/>
      <c r="D102" s="23">
        <f>D$97*SIN(D$83*PI()/180)</f>
        <v>40.641706143382656</v>
      </c>
      <c r="E102" s="23"/>
      <c r="F102" s="23">
        <f>F97*SIN(PI()*F$83/180)</f>
        <v>40.641706143382656</v>
      </c>
      <c r="G102" s="23"/>
      <c r="H102" s="23">
        <f>H$97*SIN(H$83*PI()/180)</f>
        <v>40.641706143382656</v>
      </c>
      <c r="I102" s="23"/>
      <c r="J102"/>
      <c r="K102"/>
      <c r="L102"/>
      <c r="M102"/>
      <c r="N102"/>
      <c r="O102"/>
      <c r="P102"/>
      <c r="Q102"/>
      <c r="R102"/>
    </row>
    <row r="103" spans="1:18" ht="12">
      <c r="A103" s="4" t="s">
        <v>77</v>
      </c>
      <c r="B103" s="23">
        <f>B95*COS(PI()*B$83/180)</f>
        <v>50.71272668262905</v>
      </c>
      <c r="C103" s="23"/>
      <c r="D103" s="23">
        <f>D95*COS(D$83*PI()/180)</f>
        <v>50.71272852593549</v>
      </c>
      <c r="E103" s="23"/>
      <c r="F103" s="23">
        <f>F95*COS(PI()*F$83/180)</f>
        <v>50.71272668262905</v>
      </c>
      <c r="G103" s="23"/>
      <c r="H103" s="23">
        <f>H95*COS(H$83*PI()/180)</f>
        <v>50.71272852593549</v>
      </c>
      <c r="I103" s="23"/>
      <c r="J103"/>
      <c r="K103"/>
      <c r="L103"/>
      <c r="M103"/>
      <c r="N103"/>
      <c r="O103"/>
      <c r="P103"/>
      <c r="Q103"/>
      <c r="R103"/>
    </row>
    <row r="104" spans="1:18" ht="12">
      <c r="A104" s="4" t="s">
        <v>78</v>
      </c>
      <c r="B104" s="23">
        <f>B95*SIN(PI()*B$83/180)</f>
        <v>40.657899951531334</v>
      </c>
      <c r="C104" s="23"/>
      <c r="D104" s="23">
        <f>D95*SIN(D$83*PI()/180)</f>
        <v>40.65790142936489</v>
      </c>
      <c r="E104" s="23"/>
      <c r="F104" s="23">
        <f>F95*SIN(PI()*F$83/180)</f>
        <v>40.657899951531334</v>
      </c>
      <c r="G104" s="23"/>
      <c r="H104" s="23">
        <f>H95*SIN(H$83*PI()/180)</f>
        <v>40.65790142936489</v>
      </c>
      <c r="I104" s="23"/>
      <c r="J104"/>
      <c r="K104"/>
      <c r="L104"/>
      <c r="M104"/>
      <c r="N104"/>
      <c r="O104"/>
      <c r="P104"/>
      <c r="Q104"/>
      <c r="R104"/>
    </row>
    <row r="105" spans="2:18" ht="1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0:16" ht="12">
      <c r="J106"/>
      <c r="K106"/>
      <c r="L106"/>
      <c r="M106"/>
      <c r="N106"/>
      <c r="O106"/>
      <c r="P106"/>
    </row>
    <row r="107" spans="10:16" ht="12">
      <c r="J107"/>
      <c r="K107"/>
      <c r="L107"/>
      <c r="M107"/>
      <c r="N107"/>
      <c r="O107"/>
      <c r="P107"/>
    </row>
    <row r="108" spans="10:16" ht="12">
      <c r="J108"/>
      <c r="K108"/>
      <c r="L108"/>
      <c r="M108"/>
      <c r="N108"/>
      <c r="O108"/>
      <c r="P108"/>
    </row>
    <row r="109" spans="10:16" ht="12">
      <c r="J109"/>
      <c r="K109"/>
      <c r="L109"/>
      <c r="M109"/>
      <c r="N109"/>
      <c r="O109"/>
      <c r="P109"/>
    </row>
    <row r="110" spans="10:16" ht="12">
      <c r="J110"/>
      <c r="K110"/>
      <c r="L110"/>
      <c r="M110"/>
      <c r="N110"/>
      <c r="O110"/>
      <c r="P110"/>
    </row>
    <row r="111" spans="10:16" ht="12">
      <c r="J111"/>
      <c r="K111"/>
      <c r="L111"/>
      <c r="M111"/>
      <c r="N111"/>
      <c r="O111"/>
      <c r="P111"/>
    </row>
    <row r="112" spans="4:16" ht="12">
      <c r="D112" s="7"/>
      <c r="E112" s="7"/>
      <c r="J112"/>
      <c r="K112"/>
      <c r="L112"/>
      <c r="M112"/>
      <c r="N112"/>
      <c r="O112"/>
      <c r="P1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Savvy Expeditions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Walowit</dc:creator>
  <cp:keywords/>
  <dc:description/>
  <cp:lastModifiedBy>mihas</cp:lastModifiedBy>
  <cp:lastPrinted>2003-12-19T21:14:49Z</cp:lastPrinted>
  <dcterms:created xsi:type="dcterms:W3CDTF">2003-12-18T17:12:55Z</dcterms:created>
  <dcterms:modified xsi:type="dcterms:W3CDTF">2014-11-08T00:52:14Z</dcterms:modified>
  <cp:category/>
  <cp:version/>
  <cp:contentType/>
  <cp:contentStatus/>
</cp:coreProperties>
</file>